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trlProps/ctrlProp19.xml" ContentType="application/vnd.ms-excel.controlproperties+xml"/>
  <Override PartName="/xl/ctrlProps/ctrlProp18.xml" ContentType="application/vnd.ms-excel.controlproperties+xml"/>
  <Override PartName="/xl/ctrlProps/ctrlProp17.xml" ContentType="application/vnd.ms-excel.controlproperti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trlProps/ctrlProp9.xml" ContentType="application/vnd.ms-excel.controlproperties+xml"/>
  <Override PartName="/xl/ctrlProps/ctrlProp16.xml" ContentType="application/vnd.ms-excel.controlproperties+xml"/>
  <Override PartName="/xl/ctrlProps/ctrlProp15.xml" ContentType="application/vnd.ms-excel.controlproperties+xml"/>
  <Override PartName="/xl/ctrlProps/ctrlProp25.xml" ContentType="application/vnd.ms-excel.controlproperties+xml"/>
  <Override PartName="/xl/ctrlProps/ctrlProp24.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trlProps/ctrlProp13.xml" ContentType="application/vnd.ms-excel.controlproperties+xml"/>
  <Override PartName="/xl/ctrlProps/ctrlProp8.xml" ContentType="application/vnd.ms-excel.controlproperties+xml"/>
  <Override PartName="/xl/ctrlProps/ctrlProp7.xml" ContentType="application/vnd.ms-excel.controlproperties+xml"/>
  <Override PartName="/xl/ctrlProps/ctrlProp23.xml" ContentType="application/vnd.ms-excel.controlproperties+xml"/>
  <Override PartName="/xl/ctrlProps/ctrlProp22.xml" ContentType="application/vnd.ms-excel.controlproperties+xml"/>
  <Override PartName="/xl/ctrlProps/ctrlProp14.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ctrlProps/ctrlProp5.xml" ContentType="application/vnd.ms-excel.controlproperties+xml"/>
  <Override PartName="/xl/ctrlProps/ctrlProp12.xml" ContentType="application/vnd.ms-excel.controlproperties+xml"/>
  <Override PartName="/xl/ctrlProps/ctrlProp6.xml" ContentType="application/vnd.ms-excel.controlproperties+xml"/>
  <Override PartName="/xl/ctrlProps/ctrlProp11.xml" ContentType="application/vnd.ms-excel.controlproperties+xml"/>
  <Override PartName="/xl/ctrlProps/ctrlProp21.xml" ContentType="application/vnd.ms-excel.controlproperties+xml"/>
  <Override PartName="/xl/ctrlProps/ctrlProp20.xml" ContentType="application/vnd.ms-excel.controlproperties+xml"/>
  <Override PartName="/xl/sharedStrings.xml" ContentType="application/vnd.openxmlformats-officedocument.spreadsheetml.sharedStrings+xml"/>
  <Override PartName="/xl/ctrlProps/ctrlProp10.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7695" windowHeight="8640" activeTab="2"/>
  </bookViews>
  <sheets>
    <sheet name="使用上の注意点" sheetId="6" r:id="rId1"/>
    <sheet name="時間入力シート" sheetId="1" r:id="rId2"/>
    <sheet name="時刻入力シート" sheetId="4" r:id="rId3"/>
    <sheet name="公示運賃ｼｰﾄ" sheetId="5" r:id="rId4"/>
  </sheets>
  <definedNames>
    <definedName name="_xlnm.Print_Area" localSheetId="1">時間入力シート!$A$1:$AV$120</definedName>
    <definedName name="_xlnm.Print_Area" localSheetId="2">時刻入力シート!$A$1:$AX$101</definedName>
    <definedName name="沖縄">公示運賃ｼｰﾄ!$AE$17:$AH$19</definedName>
    <definedName name="沖縄K">公示運賃ｼｰﾄ!$AE$14:$AH$16</definedName>
    <definedName name="沖縄交">公示運賃ｼｰﾄ!$AG$20:$AH$21</definedName>
    <definedName name="関東">公示運賃ｼｰﾄ!$Q$5:$T$7</definedName>
    <definedName name="関東K">公示運賃ｼｰﾄ!$Q$2:$T$4</definedName>
    <definedName name="関東交">公示運賃ｼｰﾄ!$S$8:$T$9</definedName>
    <definedName name="近畿">公示運賃ｼｰﾄ!$C$17:$F$19</definedName>
    <definedName name="近畿K">公示運賃ｼｰﾄ!$C$14:$F$16</definedName>
    <definedName name="近畿交">公示運賃ｼｰﾄ!$E$20:$F$21</definedName>
    <definedName name="九州">公示運賃ｼｰﾄ!$X$17:$AA$19</definedName>
    <definedName name="九州K">公示運賃ｼｰﾄ!$X$14:$AA$16</definedName>
    <definedName name="九州交">公示運賃ｼｰﾄ!$Z$20:$AA$21</definedName>
    <definedName name="四国">公示運賃ｼｰﾄ!$Q$17:$T$19</definedName>
    <definedName name="四国K">公示運賃ｼｰﾄ!$Q$14:$T$16</definedName>
    <definedName name="四国交">公示運賃ｼｰﾄ!$S$20:$T$21</definedName>
    <definedName name="中国">公示運賃ｼｰﾄ!$J$17:$M$19</definedName>
    <definedName name="中国K">公示運賃ｼｰﾄ!$J$14:$M$16</definedName>
    <definedName name="中国交">公示運賃ｼｰﾄ!$L$20:$M$21</definedName>
    <definedName name="中部">公示運賃ｼｰﾄ!$AE$5:$AH$7</definedName>
    <definedName name="中部K">公示運賃ｼｰﾄ!$AE$2:$AH$4</definedName>
    <definedName name="中部交">公示運賃ｼｰﾄ!$AG$8:$AH$9</definedName>
    <definedName name="東北">公示運賃ｼｰﾄ!$J$5:$M$7</definedName>
    <definedName name="東北K">公示運賃ｼｰﾄ!$J$2:$M$4</definedName>
    <definedName name="東北交">公示運賃ｼｰﾄ!$L$8:$M$9</definedName>
    <definedName name="北海道">公示運賃ｼｰﾄ!$C$5:$F$7</definedName>
    <definedName name="北海道K">公示運賃ｼｰﾄ!$C$2:$F$4</definedName>
    <definedName name="北海道交">公示運賃ｼｰﾄ!$E$8:$F$9</definedName>
    <definedName name="北陸">公示運賃ｼｰﾄ!$X$5:$AA$7</definedName>
    <definedName name="北陸K">公示運賃ｼｰﾄ!$X$2:$AA$4</definedName>
    <definedName name="北陸交">公示運賃ｼｰﾄ!$Z$8:$AA$9</definedName>
  </definedNames>
  <calcPr calcId="125725"/>
</workbook>
</file>

<file path=xl/calcChain.xml><?xml version="1.0" encoding="utf-8"?>
<calcChain xmlns="http://schemas.openxmlformats.org/spreadsheetml/2006/main">
  <c r="C62" i="4"/>
  <c r="G63"/>
  <c r="L63"/>
  <c r="W68"/>
  <c r="W67"/>
  <c r="O68"/>
  <c r="O67"/>
  <c r="L68"/>
  <c r="L67"/>
  <c r="K68"/>
  <c r="K67"/>
  <c r="C66"/>
  <c r="Q60"/>
  <c r="S61"/>
  <c r="P61"/>
  <c r="M60"/>
  <c r="J61"/>
  <c r="G82" i="1" l="1"/>
  <c r="G78"/>
  <c r="AF78"/>
  <c r="Q73"/>
  <c r="M73"/>
  <c r="P82"/>
  <c r="P83"/>
  <c r="P74"/>
  <c r="O74"/>
  <c r="S74"/>
  <c r="AA83"/>
  <c r="S83"/>
  <c r="O83"/>
  <c r="AA82"/>
  <c r="AA78"/>
  <c r="S82"/>
  <c r="O82"/>
  <c r="AP82"/>
  <c r="AI82"/>
  <c r="AH82"/>
  <c r="AE82"/>
  <c r="BD5" i="4" l="1"/>
  <c r="W65" l="1"/>
  <c r="W64"/>
  <c r="AH82"/>
  <c r="AH79"/>
  <c r="N22" i="1"/>
  <c r="N21" i="4"/>
  <c r="J74"/>
  <c r="M91" i="1"/>
  <c r="N74" i="4"/>
  <c r="J76"/>
  <c r="N76"/>
  <c r="R21"/>
  <c r="G76" l="1"/>
  <c r="G74"/>
  <c r="J78"/>
  <c r="J73"/>
  <c r="O65"/>
  <c r="L65"/>
  <c r="K65"/>
  <c r="N78"/>
  <c r="R78"/>
  <c r="W78"/>
  <c r="Z79"/>
  <c r="Q79"/>
  <c r="M79"/>
  <c r="V79"/>
  <c r="AD38" l="1"/>
  <c r="AI37"/>
  <c r="I37"/>
  <c r="AB39" i="1"/>
  <c r="J74" l="1"/>
  <c r="AQ18" l="1"/>
  <c r="AB65" l="1"/>
  <c r="S63"/>
  <c r="AH54"/>
  <c r="AB61"/>
  <c r="S59"/>
  <c r="AH48"/>
  <c r="S65"/>
  <c r="AH65"/>
  <c r="S61"/>
  <c r="AH61"/>
  <c r="S46"/>
  <c r="AA54"/>
  <c r="N61"/>
  <c r="N48"/>
  <c r="AA65"/>
  <c r="U65"/>
  <c r="R65"/>
  <c r="K65"/>
  <c r="V63"/>
  <c r="H63"/>
  <c r="AA61"/>
  <c r="U61"/>
  <c r="R61"/>
  <c r="K61"/>
  <c r="V59"/>
  <c r="H59"/>
  <c r="D45"/>
  <c r="M42"/>
  <c r="R59"/>
  <c r="Q42"/>
  <c r="V65"/>
  <c r="D65"/>
  <c r="AA63"/>
  <c r="U63"/>
  <c r="R63"/>
  <c r="K63"/>
  <c r="V61"/>
  <c r="D61"/>
  <c r="AA59"/>
  <c r="U59"/>
  <c r="K59"/>
  <c r="D58"/>
  <c r="K48"/>
  <c r="K54"/>
  <c r="S43"/>
  <c r="P43"/>
  <c r="K52"/>
  <c r="O43"/>
  <c r="I41"/>
  <c r="K46"/>
  <c r="D48"/>
  <c r="H46"/>
  <c r="AA37" i="4"/>
  <c r="X37"/>
  <c r="W37"/>
  <c r="I34"/>
  <c r="U35"/>
  <c r="P35"/>
  <c r="Q35"/>
  <c r="Q34"/>
  <c r="L34"/>
  <c r="N73"/>
  <c r="M76"/>
  <c r="M74"/>
  <c r="Z82"/>
  <c r="W81"/>
  <c r="V82"/>
  <c r="R81"/>
  <c r="Q82"/>
  <c r="N81"/>
  <c r="M82"/>
  <c r="J81"/>
  <c r="O64"/>
  <c r="L64"/>
  <c r="K64"/>
  <c r="O61"/>
  <c r="Z98" i="1"/>
  <c r="V98"/>
  <c r="Q98"/>
  <c r="M98"/>
  <c r="S9" i="4"/>
  <c r="N9"/>
  <c r="R82" l="1"/>
  <c r="R79"/>
  <c r="J82"/>
  <c r="J79"/>
  <c r="U32"/>
  <c r="U30"/>
  <c r="K32"/>
  <c r="K30"/>
  <c r="AH38" i="1"/>
  <c r="AA38"/>
  <c r="X38"/>
  <c r="W38"/>
  <c r="O38"/>
  <c r="I38"/>
  <c r="U36"/>
  <c r="Q35"/>
  <c r="P36"/>
  <c r="L35"/>
  <c r="I35"/>
  <c r="Q90"/>
  <c r="M90"/>
  <c r="AH98"/>
  <c r="AH96"/>
  <c r="Z96"/>
  <c r="V96"/>
  <c r="Q96"/>
  <c r="M96"/>
  <c r="W95"/>
  <c r="R95"/>
  <c r="M95"/>
  <c r="J95"/>
  <c r="J93"/>
  <c r="J91"/>
  <c r="O80"/>
  <c r="P80"/>
  <c r="S80"/>
  <c r="AA80"/>
  <c r="S78"/>
  <c r="P77"/>
  <c r="J77"/>
  <c r="AW4"/>
  <c r="P93" l="1"/>
  <c r="P91"/>
  <c r="M93"/>
  <c r="Q91"/>
  <c r="R22"/>
  <c r="Q93"/>
  <c r="N65" l="1"/>
  <c r="N54"/>
  <c r="R98"/>
  <c r="R96"/>
  <c r="J98"/>
  <c r="J96"/>
  <c r="P78"/>
  <c r="O78"/>
  <c r="Q36"/>
  <c r="R9"/>
  <c r="N9"/>
  <c r="N63" l="1"/>
  <c r="AI65" s="1"/>
  <c r="X113" s="1"/>
  <c r="N59"/>
  <c r="AI61" s="1"/>
  <c r="N46"/>
  <c r="N52"/>
  <c r="V17"/>
  <c r="AB12" l="1"/>
  <c r="K31" l="1"/>
  <c r="U33"/>
  <c r="U31"/>
  <c r="K33"/>
  <c r="AF12"/>
  <c r="AB15" i="4"/>
  <c r="AB13"/>
  <c r="CJ15"/>
  <c r="CJ13"/>
  <c r="CF15"/>
  <c r="CF13"/>
  <c r="CJ11"/>
  <c r="CF11"/>
  <c r="AB11"/>
  <c r="G15"/>
  <c r="G13"/>
  <c r="G11"/>
  <c r="BY17"/>
  <c r="CN15" l="1"/>
  <c r="BY15" s="1"/>
  <c r="BU15" s="1"/>
  <c r="BR15" s="1"/>
  <c r="CN13"/>
  <c r="BY13" s="1"/>
  <c r="BU13" s="1"/>
  <c r="CN11"/>
  <c r="BY11" s="1"/>
  <c r="CC15" l="1"/>
  <c r="BR13"/>
  <c r="CC13"/>
  <c r="BP11"/>
  <c r="BU11"/>
  <c r="BP15"/>
  <c r="BP13"/>
  <c r="W16" l="1"/>
  <c r="AF15"/>
  <c r="AF13"/>
  <c r="W14"/>
  <c r="BR11"/>
  <c r="CC11"/>
  <c r="AI15" l="1"/>
  <c r="AN15"/>
  <c r="AQ15"/>
  <c r="AI13"/>
  <c r="AQ13"/>
  <c r="AN13"/>
  <c r="AF11"/>
  <c r="W12"/>
  <c r="T23"/>
  <c r="W79" s="1"/>
  <c r="V15" i="1"/>
  <c r="V13"/>
  <c r="T24"/>
  <c r="AF16"/>
  <c r="AF14"/>
  <c r="AB16"/>
  <c r="AB14"/>
  <c r="AC18" l="1"/>
  <c r="Y32" i="4"/>
  <c r="AD19" i="1"/>
  <c r="W98"/>
  <c r="W96"/>
  <c r="Y30" i="4"/>
  <c r="W82"/>
  <c r="V54" i="1"/>
  <c r="S45"/>
  <c r="U54"/>
  <c r="D54"/>
  <c r="O45"/>
  <c r="S54"/>
  <c r="R54"/>
  <c r="W45"/>
  <c r="S52"/>
  <c r="AA48"/>
  <c r="R48"/>
  <c r="V48"/>
  <c r="U48"/>
  <c r="S48"/>
  <c r="U46"/>
  <c r="V46"/>
  <c r="R46"/>
  <c r="AA46"/>
  <c r="Y31"/>
  <c r="Y33"/>
  <c r="R24"/>
  <c r="V52"/>
  <c r="J43"/>
  <c r="AA52"/>
  <c r="U52"/>
  <c r="R52"/>
  <c r="H52"/>
  <c r="AQ11" i="4"/>
  <c r="AN11"/>
  <c r="AI11"/>
  <c r="AF17" s="1"/>
  <c r="AD18"/>
  <c r="R23"/>
  <c r="W23"/>
  <c r="Q24"/>
  <c r="Q25" i="1"/>
  <c r="W24"/>
  <c r="N79" i="4" l="1"/>
  <c r="AA79" s="1"/>
  <c r="AK89" s="1"/>
  <c r="O32"/>
  <c r="AF32" s="1"/>
  <c r="F68" s="1"/>
  <c r="P68" s="1"/>
  <c r="AD97" s="1"/>
  <c r="O30"/>
  <c r="AF30" s="1"/>
  <c r="N96" i="1"/>
  <c r="AA96" s="1"/>
  <c r="AK105" s="1"/>
  <c r="N98"/>
  <c r="AA98" s="1"/>
  <c r="AK113" s="1"/>
  <c r="N82" i="4"/>
  <c r="AA82" s="1"/>
  <c r="AK97" s="1"/>
  <c r="AB48" i="1"/>
  <c r="AB54"/>
  <c r="AB46"/>
  <c r="O33"/>
  <c r="AF33" s="1"/>
  <c r="J83" s="1"/>
  <c r="O31"/>
  <c r="AF31" s="1"/>
  <c r="AB52"/>
  <c r="AI54" s="1"/>
  <c r="AQ17" i="4"/>
  <c r="AT49" s="1"/>
  <c r="C44" l="1"/>
  <c r="AT56"/>
  <c r="AC56"/>
  <c r="AB55"/>
  <c r="Z55"/>
  <c r="Y55"/>
  <c r="AC53"/>
  <c r="Z53"/>
  <c r="AC52"/>
  <c r="Z52"/>
  <c r="AH56"/>
  <c r="J56"/>
  <c r="AC55"/>
  <c r="J55"/>
  <c r="J53"/>
  <c r="M52"/>
  <c r="C51"/>
  <c r="AT53"/>
  <c r="AB56"/>
  <c r="Z56"/>
  <c r="Y56"/>
  <c r="AH53"/>
  <c r="AB53"/>
  <c r="Y53"/>
  <c r="AB52"/>
  <c r="Y52"/>
  <c r="M56"/>
  <c r="AH55"/>
  <c r="M55"/>
  <c r="M53"/>
  <c r="AH52"/>
  <c r="J52"/>
  <c r="U53"/>
  <c r="U56"/>
  <c r="AN53"/>
  <c r="AN56"/>
  <c r="U52"/>
  <c r="U55"/>
  <c r="L42"/>
  <c r="I42"/>
  <c r="J41"/>
  <c r="F41"/>
  <c r="AI48" i="1"/>
  <c r="X105" s="1"/>
  <c r="J80"/>
  <c r="T80" s="1"/>
  <c r="T83"/>
  <c r="J45" i="4"/>
  <c r="AT46"/>
  <c r="F65"/>
  <c r="P65" s="1"/>
  <c r="R97"/>
  <c r="U45"/>
  <c r="Z49"/>
  <c r="M45"/>
  <c r="M46"/>
  <c r="Z46"/>
  <c r="M49"/>
  <c r="Z48"/>
  <c r="M48"/>
  <c r="Z45"/>
  <c r="U49"/>
  <c r="U48"/>
  <c r="U46"/>
  <c r="AB49"/>
  <c r="J49"/>
  <c r="AC48"/>
  <c r="J48"/>
  <c r="Y49"/>
  <c r="Y48"/>
  <c r="AN49"/>
  <c r="AB48"/>
  <c r="AH49"/>
  <c r="AC49"/>
  <c r="AH48"/>
  <c r="O37"/>
  <c r="L35"/>
  <c r="V35" s="1"/>
  <c r="AB37" s="1"/>
  <c r="L36" i="1"/>
  <c r="V36" s="1"/>
  <c r="AB38" s="1"/>
  <c r="J78" s="1"/>
  <c r="AH46" i="4"/>
  <c r="AB46"/>
  <c r="AC46"/>
  <c r="Y46"/>
  <c r="J46"/>
  <c r="R113" i="1"/>
  <c r="Y42" i="4"/>
  <c r="AC45"/>
  <c r="AB45"/>
  <c r="AN46"/>
  <c r="C42"/>
  <c r="AH45"/>
  <c r="U42"/>
  <c r="AC42"/>
  <c r="Y45"/>
  <c r="H42"/>
  <c r="AI52" l="1"/>
  <c r="F64"/>
  <c r="F67"/>
  <c r="P67" s="1"/>
  <c r="AI55"/>
  <c r="AI56"/>
  <c r="AI53"/>
  <c r="J82" i="1"/>
  <c r="T82" s="1"/>
  <c r="AD113" s="1"/>
  <c r="R89" i="4"/>
  <c r="R105" i="1"/>
  <c r="AI48" i="4"/>
  <c r="AI45"/>
  <c r="AI49"/>
  <c r="AI46"/>
  <c r="P64"/>
  <c r="AD89" s="1"/>
  <c r="AO53" l="1"/>
  <c r="AO56"/>
  <c r="X97" s="1"/>
  <c r="AO49"/>
  <c r="AO46"/>
  <c r="T78" i="1"/>
  <c r="AD105" s="1"/>
  <c r="L109"/>
  <c r="X89" i="4" l="1"/>
  <c r="L85" s="1"/>
  <c r="L87" s="1"/>
  <c r="L89" s="1"/>
  <c r="L93"/>
  <c r="L95" s="1"/>
  <c r="L97" s="1"/>
  <c r="L101" i="1"/>
  <c r="L103" s="1"/>
  <c r="L111"/>
  <c r="W100" i="4" l="1"/>
  <c r="B101"/>
  <c r="Q100"/>
  <c r="K100"/>
  <c r="B100"/>
  <c r="AC100"/>
  <c r="L113" i="1"/>
  <c r="L105" l="1"/>
  <c r="Q116" s="1"/>
  <c r="B116" l="1"/>
  <c r="W116"/>
  <c r="K116"/>
  <c r="AC116"/>
  <c r="B117"/>
</calcChain>
</file>

<file path=xl/sharedStrings.xml><?xml version="1.0" encoding="utf-8"?>
<sst xmlns="http://schemas.openxmlformats.org/spreadsheetml/2006/main" count="521" uniqueCount="144">
  <si>
    <t>車種区分</t>
    <rPh sb="0" eb="2">
      <t>シャシュ</t>
    </rPh>
    <rPh sb="2" eb="4">
      <t>クブン</t>
    </rPh>
    <phoneticPr fontId="2"/>
  </si>
  <si>
    <t>運賃</t>
    <rPh sb="0" eb="2">
      <t>ウンチン</t>
    </rPh>
    <phoneticPr fontId="2"/>
  </si>
  <si>
    <t>キロ制運賃</t>
    <rPh sb="2" eb="3">
      <t>セイ</t>
    </rPh>
    <rPh sb="3" eb="5">
      <t>ウンチン</t>
    </rPh>
    <phoneticPr fontId="2"/>
  </si>
  <si>
    <t>大型車</t>
    <rPh sb="0" eb="2">
      <t>オオガタ</t>
    </rPh>
    <rPh sb="2" eb="3">
      <t>シャ</t>
    </rPh>
    <phoneticPr fontId="2"/>
  </si>
  <si>
    <t>中型車</t>
    <rPh sb="0" eb="2">
      <t>チュウガタ</t>
    </rPh>
    <rPh sb="2" eb="3">
      <t>シャ</t>
    </rPh>
    <phoneticPr fontId="2"/>
  </si>
  <si>
    <t>小型車</t>
    <rPh sb="0" eb="2">
      <t>コガタ</t>
    </rPh>
    <rPh sb="2" eb="3">
      <t>シャ</t>
    </rPh>
    <phoneticPr fontId="2"/>
  </si>
  <si>
    <t>時間制運賃</t>
    <rPh sb="0" eb="3">
      <t>ジカンセイ</t>
    </rPh>
    <rPh sb="3" eb="5">
      <t>ウンチン</t>
    </rPh>
    <phoneticPr fontId="2"/>
  </si>
  <si>
    <t>上限額</t>
    <rPh sb="0" eb="3">
      <t>ジョウゲンガク</t>
    </rPh>
    <phoneticPr fontId="2"/>
  </si>
  <si>
    <t>下限額</t>
    <rPh sb="0" eb="3">
      <t>カゲンガク</t>
    </rPh>
    <phoneticPr fontId="2"/>
  </si>
  <si>
    <t>料金</t>
    <rPh sb="0" eb="2">
      <t>リョウキン</t>
    </rPh>
    <phoneticPr fontId="2"/>
  </si>
  <si>
    <t>深夜早朝運行料金</t>
    <rPh sb="0" eb="2">
      <t>シンヤ</t>
    </rPh>
    <rPh sb="2" eb="4">
      <t>ソウチョウ</t>
    </rPh>
    <rPh sb="4" eb="6">
      <t>ウンコウ</t>
    </rPh>
    <rPh sb="6" eb="8">
      <t>リョウキン</t>
    </rPh>
    <phoneticPr fontId="2"/>
  </si>
  <si>
    <t>特殊車両割増料金</t>
    <rPh sb="0" eb="2">
      <t>トクシュ</t>
    </rPh>
    <rPh sb="2" eb="4">
      <t>シャリョウ</t>
    </rPh>
    <rPh sb="4" eb="6">
      <t>ワリマシ</t>
    </rPh>
    <rPh sb="6" eb="8">
      <t>リョウキン</t>
    </rPh>
    <phoneticPr fontId="2"/>
  </si>
  <si>
    <t>運賃の５割増以内</t>
    <rPh sb="0" eb="2">
      <t>ウンチン</t>
    </rPh>
    <rPh sb="4" eb="6">
      <t>ワリマ</t>
    </rPh>
    <rPh sb="6" eb="8">
      <t>イナイ</t>
    </rPh>
    <phoneticPr fontId="2"/>
  </si>
  <si>
    <t>時間制運賃及び交替運転者配置料金（時間制料金）の２割増以内</t>
    <rPh sb="0" eb="3">
      <t>ジカンセイ</t>
    </rPh>
    <rPh sb="3" eb="5">
      <t>ウンチン</t>
    </rPh>
    <rPh sb="5" eb="6">
      <t>オヨ</t>
    </rPh>
    <rPh sb="7" eb="9">
      <t>コウタイ</t>
    </rPh>
    <rPh sb="9" eb="12">
      <t>ウンテンシャ</t>
    </rPh>
    <rPh sb="12" eb="14">
      <t>ハイチ</t>
    </rPh>
    <rPh sb="14" eb="16">
      <t>リョウキン</t>
    </rPh>
    <rPh sb="17" eb="20">
      <t>ジカンセイ</t>
    </rPh>
    <rPh sb="20" eb="22">
      <t>リョウキン</t>
    </rPh>
    <rPh sb="25" eb="26">
      <t>ワリ</t>
    </rPh>
    <rPh sb="26" eb="27">
      <t>ゾウ</t>
    </rPh>
    <rPh sb="27" eb="29">
      <t>イナイ</t>
    </rPh>
    <phoneticPr fontId="2"/>
  </si>
  <si>
    <t>上限額</t>
    <rPh sb="0" eb="2">
      <t>ジョウゲン</t>
    </rPh>
    <rPh sb="2" eb="3">
      <t>ガク</t>
    </rPh>
    <phoneticPr fontId="2"/>
  </si>
  <si>
    <t>～</t>
    <phoneticPr fontId="2"/>
  </si>
  <si>
    <t>キロ単価</t>
    <rPh sb="2" eb="4">
      <t>タンカ</t>
    </rPh>
    <phoneticPr fontId="2"/>
  </si>
  <si>
    <t>時間単価</t>
    <rPh sb="0" eb="2">
      <t>ジカン</t>
    </rPh>
    <rPh sb="2" eb="4">
      <t>タンカ</t>
    </rPh>
    <phoneticPr fontId="2"/>
  </si>
  <si>
    <t>×</t>
    <phoneticPr fontId="2"/>
  </si>
  <si>
    <t>＋</t>
    <phoneticPr fontId="2"/>
  </si>
  <si>
    <t>時間</t>
    <rPh sb="0" eb="2">
      <t>ジカン</t>
    </rPh>
    <phoneticPr fontId="2"/>
  </si>
  <si>
    <t>＝</t>
    <phoneticPr fontId="2"/>
  </si>
  <si>
    <t>走行距離</t>
    <rPh sb="0" eb="2">
      <t>ソウコウ</t>
    </rPh>
    <rPh sb="2" eb="4">
      <t>キョリ</t>
    </rPh>
    <phoneticPr fontId="2"/>
  </si>
  <si>
    <t>㎞</t>
    <phoneticPr fontId="2"/>
  </si>
  <si>
    <t>時間制</t>
    <rPh sb="0" eb="3">
      <t>ジカンセイ</t>
    </rPh>
    <phoneticPr fontId="2"/>
  </si>
  <si>
    <t>キロ制</t>
    <rPh sb="2" eb="3">
      <t>セイ</t>
    </rPh>
    <phoneticPr fontId="2"/>
  </si>
  <si>
    <t>分</t>
    <rPh sb="0" eb="1">
      <t>フン</t>
    </rPh>
    <phoneticPr fontId="2"/>
  </si>
  <si>
    <t>運賃計算の対象となる総拘束時間</t>
    <rPh sb="0" eb="2">
      <t>ウンチン</t>
    </rPh>
    <rPh sb="2" eb="4">
      <t>ケイサン</t>
    </rPh>
    <rPh sb="5" eb="7">
      <t>タイショウ</t>
    </rPh>
    <rPh sb="10" eb="11">
      <t>ソウ</t>
    </rPh>
    <rPh sb="11" eb="13">
      <t>コウソク</t>
    </rPh>
    <rPh sb="13" eb="15">
      <t>ジカン</t>
    </rPh>
    <phoneticPr fontId="2"/>
  </si>
  <si>
    <t>深夜早朝料金</t>
    <rPh sb="0" eb="2">
      <t>シンヤ</t>
    </rPh>
    <rPh sb="2" eb="4">
      <t>ソウチョウ</t>
    </rPh>
    <rPh sb="4" eb="6">
      <t>リョウキン</t>
    </rPh>
    <phoneticPr fontId="2"/>
  </si>
  <si>
    <t>特殊車両料金</t>
    <rPh sb="0" eb="2">
      <t>トクシュ</t>
    </rPh>
    <rPh sb="2" eb="4">
      <t>シャリョウ</t>
    </rPh>
    <rPh sb="4" eb="6">
      <t>リョウキン</t>
    </rPh>
    <phoneticPr fontId="2"/>
  </si>
  <si>
    <t>交替運転者配置料金</t>
    <rPh sb="0" eb="2">
      <t>コウタイ</t>
    </rPh>
    <rPh sb="2" eb="5">
      <t>ウンテンシャ</t>
    </rPh>
    <rPh sb="5" eb="7">
      <t>ハイチ</t>
    </rPh>
    <rPh sb="7" eb="9">
      <t>リョウキン</t>
    </rPh>
    <phoneticPr fontId="2"/>
  </si>
  <si>
    <t>２日目：</t>
    <rPh sb="1" eb="2">
      <t>ヒ</t>
    </rPh>
    <rPh sb="2" eb="3">
      <t>メ</t>
    </rPh>
    <phoneticPr fontId="2"/>
  </si>
  <si>
    <t>１日目：</t>
    <rPh sb="1" eb="3">
      <t>ニチメ</t>
    </rPh>
    <phoneticPr fontId="2"/>
  </si>
  <si>
    <t>３日目：</t>
    <rPh sb="1" eb="3">
      <t>ヒメ</t>
    </rPh>
    <phoneticPr fontId="2"/>
  </si>
  <si>
    <t>分＋点呼点検2時間＝</t>
    <rPh sb="0" eb="1">
      <t>フン</t>
    </rPh>
    <rPh sb="2" eb="4">
      <t>テンコ</t>
    </rPh>
    <rPh sb="4" eb="6">
      <t>テンケン</t>
    </rPh>
    <rPh sb="7" eb="9">
      <t>ジカン</t>
    </rPh>
    <phoneticPr fontId="2"/>
  </si>
  <si>
    <t>←</t>
    <phoneticPr fontId="2"/>
  </si>
  <si>
    <t>運　賃</t>
    <rPh sb="0" eb="1">
      <t>ウン</t>
    </rPh>
    <rPh sb="2" eb="3">
      <t>チン</t>
    </rPh>
    <phoneticPr fontId="2"/>
  </si>
  <si>
    <t>割  引</t>
    <rPh sb="0" eb="1">
      <t>ワリ</t>
    </rPh>
    <rPh sb="3" eb="4">
      <t>ヒ</t>
    </rPh>
    <phoneticPr fontId="2"/>
  </si>
  <si>
    <t>運賃計算</t>
    <rPh sb="0" eb="2">
      <t>ウンチン</t>
    </rPh>
    <rPh sb="2" eb="4">
      <t>ケイサン</t>
    </rPh>
    <phoneticPr fontId="2"/>
  </si>
  <si>
    <t>総拘束時間</t>
    <rPh sb="0" eb="1">
      <t>ソウ</t>
    </rPh>
    <rPh sb="1" eb="3">
      <t>コウソク</t>
    </rPh>
    <rPh sb="3" eb="5">
      <t>ジカン</t>
    </rPh>
    <phoneticPr fontId="2"/>
  </si>
  <si>
    <t>（</t>
    <phoneticPr fontId="2"/>
  </si>
  <si>
    <t>）</t>
    <phoneticPr fontId="2"/>
  </si>
  <si>
    <t>時間制運賃額＋キロ制運賃額</t>
    <rPh sb="0" eb="3">
      <t>ジカンセイ</t>
    </rPh>
    <rPh sb="3" eb="5">
      <t>ウンチン</t>
    </rPh>
    <rPh sb="5" eb="6">
      <t>ガク</t>
    </rPh>
    <rPh sb="9" eb="10">
      <t>セイ</t>
    </rPh>
    <rPh sb="10" eb="12">
      <t>ウンチン</t>
    </rPh>
    <rPh sb="12" eb="13">
      <t>ガク</t>
    </rPh>
    <phoneticPr fontId="2"/>
  </si>
  <si>
    <t>（内、深夜早朝に係る時間）</t>
    <rPh sb="1" eb="2">
      <t>ウチ</t>
    </rPh>
    <rPh sb="3" eb="5">
      <t>シンヤ</t>
    </rPh>
    <rPh sb="5" eb="7">
      <t>ソウチョウ</t>
    </rPh>
    <rPh sb="8" eb="9">
      <t>カカ</t>
    </rPh>
    <rPh sb="10" eb="12">
      <t>ジカン</t>
    </rPh>
    <phoneticPr fontId="2"/>
  </si>
  <si>
    <t>深夜早朝時間 計</t>
    <rPh sb="7" eb="8">
      <t>ケイ</t>
    </rPh>
    <phoneticPr fontId="2"/>
  </si>
  <si>
    <t>→</t>
    <phoneticPr fontId="2"/>
  </si>
  <si>
    <t>料　金</t>
    <rPh sb="0" eb="1">
      <t>リョウ</t>
    </rPh>
    <rPh sb="2" eb="3">
      <t>キン</t>
    </rPh>
    <phoneticPr fontId="2"/>
  </si>
  <si>
    <t>消費税</t>
    <rPh sb="0" eb="3">
      <t>ショウヒゼイ</t>
    </rPh>
    <phoneticPr fontId="2"/>
  </si>
  <si>
    <t>運賃＋料金</t>
    <rPh sb="0" eb="2">
      <t>ウンチン</t>
    </rPh>
    <rPh sb="3" eb="5">
      <t>リョウキン</t>
    </rPh>
    <phoneticPr fontId="2"/>
  </si>
  <si>
    <t>合   計</t>
    <rPh sb="0" eb="1">
      <t>ゴウ</t>
    </rPh>
    <rPh sb="4" eb="5">
      <t>ケイ</t>
    </rPh>
    <phoneticPr fontId="2"/>
  </si>
  <si>
    <t>に入力してください。</t>
    <rPh sb="1" eb="3">
      <t>ニュウリョク</t>
    </rPh>
    <phoneticPr fontId="2"/>
  </si>
  <si>
    <t>出庫時間</t>
    <rPh sb="0" eb="2">
      <t>シュッコ</t>
    </rPh>
    <rPh sb="2" eb="4">
      <t>ジカン</t>
    </rPh>
    <phoneticPr fontId="2"/>
  </si>
  <si>
    <t>帰庫時間</t>
    <rPh sb="0" eb="1">
      <t>キ</t>
    </rPh>
    <rPh sb="1" eb="2">
      <t>コ</t>
    </rPh>
    <rPh sb="2" eb="4">
      <t>ジカン</t>
    </rPh>
    <phoneticPr fontId="2"/>
  </si>
  <si>
    <t>時</t>
    <rPh sb="0" eb="1">
      <t>ジ</t>
    </rPh>
    <phoneticPr fontId="2"/>
  </si>
  <si>
    <t>→</t>
    <phoneticPr fontId="2"/>
  </si>
  <si>
    <t>(</t>
    <phoneticPr fontId="2"/>
  </si>
  <si>
    <t>)</t>
    <phoneticPr fontId="2"/>
  </si>
  <si>
    <t>→</t>
    <phoneticPr fontId="2"/>
  </si>
  <si>
    <t>)</t>
    <phoneticPr fontId="2"/>
  </si>
  <si>
    <t>拘束時間</t>
    <rPh sb="0" eb="2">
      <t>コウソク</t>
    </rPh>
    <rPh sb="2" eb="4">
      <t>ジカン</t>
    </rPh>
    <phoneticPr fontId="2"/>
  </si>
  <si>
    <r>
      <t xml:space="preserve">始業点呼・点検
</t>
    </r>
    <r>
      <rPr>
        <b/>
        <sz val="9"/>
        <color rgb="FF002060"/>
        <rFont val="ＭＳ Ｐゴシック"/>
        <family val="3"/>
        <charset val="128"/>
        <scheme val="minor"/>
      </rPr>
      <t>出庫前１時間</t>
    </r>
    <rPh sb="0" eb="2">
      <t>シギョウ</t>
    </rPh>
    <rPh sb="2" eb="4">
      <t>テンコ</t>
    </rPh>
    <rPh sb="5" eb="7">
      <t>テンケン</t>
    </rPh>
    <rPh sb="8" eb="10">
      <t>シュッコ</t>
    </rPh>
    <rPh sb="10" eb="11">
      <t>マエ</t>
    </rPh>
    <rPh sb="12" eb="14">
      <t>ジカン</t>
    </rPh>
    <phoneticPr fontId="2"/>
  </si>
  <si>
    <r>
      <t xml:space="preserve">終業点呼・点検
</t>
    </r>
    <r>
      <rPr>
        <b/>
        <sz val="9"/>
        <color rgb="FF002060"/>
        <rFont val="ＭＳ Ｐゴシック"/>
        <family val="3"/>
        <charset val="128"/>
        <scheme val="minor"/>
      </rPr>
      <t>帰庫後１時間</t>
    </r>
    <rPh sb="0" eb="2">
      <t>シュウギョウ</t>
    </rPh>
    <rPh sb="2" eb="4">
      <t>テンコ</t>
    </rPh>
    <rPh sb="5" eb="7">
      <t>テンケン</t>
    </rPh>
    <rPh sb="8" eb="10">
      <t>キコ</t>
    </rPh>
    <rPh sb="10" eb="11">
      <t>ゴ</t>
    </rPh>
    <rPh sb="12" eb="14">
      <t>ジカン</t>
    </rPh>
    <phoneticPr fontId="2"/>
  </si>
  <si>
    <t>深夜早朝</t>
    <rPh sb="0" eb="2">
      <t>シンヤ</t>
    </rPh>
    <rPh sb="2" eb="4">
      <t>ソウチョウ</t>
    </rPh>
    <phoneticPr fontId="2"/>
  </si>
  <si>
    <t>走行時間</t>
    <rPh sb="0" eb="2">
      <t>ソウコウ</t>
    </rPh>
    <rPh sb="2" eb="4">
      <t>ジカン</t>
    </rPh>
    <phoneticPr fontId="2"/>
  </si>
  <si>
    <t>点呼時間</t>
    <rPh sb="0" eb="2">
      <t>テンコ</t>
    </rPh>
    <rPh sb="2" eb="4">
      <t>ジカン</t>
    </rPh>
    <phoneticPr fontId="2"/>
  </si>
  <si>
    <t>※特殊車両料金を適用するときは、をクリックしてください。</t>
    <rPh sb="1" eb="3">
      <t>トクシュ</t>
    </rPh>
    <rPh sb="3" eb="5">
      <t>シャリョウ</t>
    </rPh>
    <rPh sb="5" eb="7">
      <t>リョウキン</t>
    </rPh>
    <rPh sb="8" eb="10">
      <t>テキヨウ</t>
    </rPh>
    <phoneticPr fontId="2"/>
  </si>
  <si>
    <t>※交替運転者配置料金を適用するときは、をクリックしてください。</t>
    <rPh sb="1" eb="3">
      <t>コウタイ</t>
    </rPh>
    <rPh sb="3" eb="6">
      <t>ウンテンシャ</t>
    </rPh>
    <rPh sb="6" eb="8">
      <t>ハイチ</t>
    </rPh>
    <rPh sb="8" eb="10">
      <t>リョウキン</t>
    </rPh>
    <rPh sb="11" eb="13">
      <t>テキヨウ</t>
    </rPh>
    <phoneticPr fontId="2"/>
  </si>
  <si>
    <t>～</t>
    <phoneticPr fontId="2"/>
  </si>
  <si>
    <t>←該当箇所を選択してください！</t>
    <rPh sb="1" eb="3">
      <t>ガイトウ</t>
    </rPh>
    <rPh sb="3" eb="5">
      <t>カショ</t>
    </rPh>
    <rPh sb="6" eb="8">
      <t>センタク</t>
    </rPh>
    <phoneticPr fontId="2"/>
  </si>
  <si>
    <t>（走行時間）</t>
    <rPh sb="1" eb="3">
      <t>ソウコウ</t>
    </rPh>
    <rPh sb="3" eb="5">
      <t>ジカン</t>
    </rPh>
    <phoneticPr fontId="2"/>
  </si>
  <si>
    <t>（拘束時間）</t>
    <rPh sb="1" eb="3">
      <t>コウソク</t>
    </rPh>
    <rPh sb="3" eb="5">
      <t>ジカン</t>
    </rPh>
    <phoneticPr fontId="2"/>
  </si>
  <si>
    <t>帰庫時間</t>
    <rPh sb="0" eb="2">
      <t>キコ</t>
    </rPh>
    <rPh sb="2" eb="4">
      <t>ジカン</t>
    </rPh>
    <phoneticPr fontId="2"/>
  </si>
  <si>
    <t>出庫時間</t>
    <rPh sb="0" eb="2">
      <t>シュッコ</t>
    </rPh>
    <rPh sb="2" eb="4">
      <t>ジカン</t>
    </rPh>
    <phoneticPr fontId="2"/>
  </si>
  <si>
    <t>北海道運輸局公示運賃</t>
    <rPh sb="6" eb="8">
      <t>コウジ</t>
    </rPh>
    <rPh sb="8" eb="10">
      <t>ウンチン</t>
    </rPh>
    <phoneticPr fontId="2"/>
  </si>
  <si>
    <t>東北運輸局公示運賃</t>
    <rPh sb="5" eb="7">
      <t>コウジ</t>
    </rPh>
    <rPh sb="7" eb="9">
      <t>ウンチン</t>
    </rPh>
    <phoneticPr fontId="2"/>
  </si>
  <si>
    <t>関東運輸局公示運賃</t>
    <rPh sb="0" eb="2">
      <t>カントウ</t>
    </rPh>
    <rPh sb="5" eb="7">
      <t>コウジ</t>
    </rPh>
    <rPh sb="7" eb="9">
      <t>ウンチン</t>
    </rPh>
    <phoneticPr fontId="2"/>
  </si>
  <si>
    <t>北陸信越運輸局公示運賃</t>
    <rPh sb="0" eb="2">
      <t>ホクリク</t>
    </rPh>
    <rPh sb="2" eb="4">
      <t>シンエツ</t>
    </rPh>
    <rPh sb="7" eb="9">
      <t>コウジ</t>
    </rPh>
    <rPh sb="9" eb="11">
      <t>ウンチン</t>
    </rPh>
    <phoneticPr fontId="2"/>
  </si>
  <si>
    <t>近畿運輸局公示運賃</t>
    <rPh sb="0" eb="2">
      <t>キンキ</t>
    </rPh>
    <rPh sb="5" eb="7">
      <t>コウジ</t>
    </rPh>
    <rPh sb="7" eb="9">
      <t>ウンチン</t>
    </rPh>
    <phoneticPr fontId="2"/>
  </si>
  <si>
    <t>中部運輸局公示運賃</t>
    <rPh sb="0" eb="2">
      <t>チュウブ</t>
    </rPh>
    <rPh sb="2" eb="4">
      <t>ウンユ</t>
    </rPh>
    <rPh sb="5" eb="7">
      <t>コウジ</t>
    </rPh>
    <rPh sb="7" eb="9">
      <t>ウンチン</t>
    </rPh>
    <phoneticPr fontId="2"/>
  </si>
  <si>
    <t>四国運輸局公示運賃</t>
    <rPh sb="0" eb="2">
      <t>シコク</t>
    </rPh>
    <rPh sb="2" eb="4">
      <t>ウンユ</t>
    </rPh>
    <rPh sb="5" eb="7">
      <t>コウジ</t>
    </rPh>
    <rPh sb="7" eb="9">
      <t>ウンチン</t>
    </rPh>
    <phoneticPr fontId="2"/>
  </si>
  <si>
    <t>九州運輸局公示運賃</t>
    <rPh sb="0" eb="2">
      <t>キュウシュウ</t>
    </rPh>
    <rPh sb="2" eb="4">
      <t>ウンユ</t>
    </rPh>
    <rPh sb="5" eb="7">
      <t>コウジ</t>
    </rPh>
    <rPh sb="7" eb="9">
      <t>ウンチン</t>
    </rPh>
    <phoneticPr fontId="2"/>
  </si>
  <si>
    <t>沖縄運輸局公示運賃</t>
    <rPh sb="0" eb="2">
      <t>オキナワ</t>
    </rPh>
    <rPh sb="2" eb="4">
      <t>ウンユ</t>
    </rPh>
    <rPh sb="5" eb="7">
      <t>コウジ</t>
    </rPh>
    <rPh sb="7" eb="9">
      <t>ウンチン</t>
    </rPh>
    <phoneticPr fontId="2"/>
  </si>
  <si>
    <t>北海道</t>
    <rPh sb="0" eb="3">
      <t>ホッカイドウ</t>
    </rPh>
    <phoneticPr fontId="2"/>
  </si>
  <si>
    <t>東北</t>
    <rPh sb="0" eb="2">
      <t>トウホク</t>
    </rPh>
    <phoneticPr fontId="2"/>
  </si>
  <si>
    <t>関東</t>
    <rPh sb="0" eb="2">
      <t>カントウ</t>
    </rPh>
    <phoneticPr fontId="2"/>
  </si>
  <si>
    <t>北陸</t>
    <rPh sb="0" eb="2">
      <t>ホクリク</t>
    </rPh>
    <phoneticPr fontId="2"/>
  </si>
  <si>
    <t>中部</t>
    <rPh sb="0" eb="2">
      <t>チュウブ</t>
    </rPh>
    <phoneticPr fontId="2"/>
  </si>
  <si>
    <t>近畿</t>
    <rPh sb="0" eb="2">
      <t>キンキ</t>
    </rPh>
    <phoneticPr fontId="2"/>
  </si>
  <si>
    <t>四国</t>
    <rPh sb="0" eb="2">
      <t>シコク</t>
    </rPh>
    <phoneticPr fontId="2"/>
  </si>
  <si>
    <t>九州</t>
    <rPh sb="0" eb="2">
      <t>キュウシュウ</t>
    </rPh>
    <phoneticPr fontId="2"/>
  </si>
  <si>
    <t>沖縄</t>
    <rPh sb="0" eb="2">
      <t>オキナワ</t>
    </rPh>
    <phoneticPr fontId="2"/>
  </si>
  <si>
    <t>中国</t>
    <rPh sb="0" eb="1">
      <t>チュウ</t>
    </rPh>
    <rPh sb="1" eb="2">
      <t>クニ</t>
    </rPh>
    <phoneticPr fontId="2"/>
  </si>
  <si>
    <t>運輸局を選択→</t>
    <rPh sb="0" eb="2">
      <t>ウンユ</t>
    </rPh>
    <rPh sb="2" eb="3">
      <t>キョク</t>
    </rPh>
    <rPh sb="4" eb="6">
      <t>センタク</t>
    </rPh>
    <phoneticPr fontId="2"/>
  </si>
  <si>
    <t>北海道K</t>
    <rPh sb="0" eb="3">
      <t>ホッカイドウ</t>
    </rPh>
    <phoneticPr fontId="2"/>
  </si>
  <si>
    <t>東北K</t>
    <rPh sb="0" eb="2">
      <t>トウホク</t>
    </rPh>
    <phoneticPr fontId="2"/>
  </si>
  <si>
    <t>関東K</t>
    <rPh sb="0" eb="2">
      <t>カントウ</t>
    </rPh>
    <phoneticPr fontId="2"/>
  </si>
  <si>
    <t>北陸K</t>
    <rPh sb="0" eb="2">
      <t>ホクリク</t>
    </rPh>
    <phoneticPr fontId="2"/>
  </si>
  <si>
    <t>中部K</t>
    <rPh sb="0" eb="2">
      <t>チュウブ</t>
    </rPh>
    <phoneticPr fontId="2"/>
  </si>
  <si>
    <t>中国K</t>
    <rPh sb="0" eb="1">
      <t>チュウ</t>
    </rPh>
    <rPh sb="1" eb="2">
      <t>クニ</t>
    </rPh>
    <phoneticPr fontId="2"/>
  </si>
  <si>
    <t>近畿K</t>
    <rPh sb="0" eb="2">
      <t>キンキ</t>
    </rPh>
    <phoneticPr fontId="2"/>
  </si>
  <si>
    <t>四国K</t>
    <rPh sb="0" eb="2">
      <t>シコク</t>
    </rPh>
    <phoneticPr fontId="2"/>
  </si>
  <si>
    <t>九州K</t>
    <rPh sb="0" eb="2">
      <t>キュウシュウ</t>
    </rPh>
    <phoneticPr fontId="2"/>
  </si>
  <si>
    <t>沖縄K</t>
    <rPh sb="0" eb="2">
      <t>オキナワ</t>
    </rPh>
    <phoneticPr fontId="2"/>
  </si>
  <si>
    <t>中国公示運賃</t>
    <rPh sb="0" eb="2">
      <t>チュウゴク</t>
    </rPh>
    <rPh sb="2" eb="4">
      <t>コウジ</t>
    </rPh>
    <rPh sb="4" eb="6">
      <t>ウンチン</t>
    </rPh>
    <phoneticPr fontId="2"/>
  </si>
  <si>
    <t>←車種区分を選択してください！</t>
    <rPh sb="1" eb="3">
      <t>シャシュ</t>
    </rPh>
    <rPh sb="3" eb="5">
      <t>クブン</t>
    </rPh>
    <rPh sb="6" eb="8">
      <t>センタク</t>
    </rPh>
    <phoneticPr fontId="2"/>
  </si>
  <si>
    <t>（１時間あたりの単価）</t>
    <phoneticPr fontId="2"/>
  </si>
  <si>
    <t>（１㎞あたりの単価）</t>
    <phoneticPr fontId="2"/>
  </si>
  <si>
    <t>←車種区分を選択してください</t>
    <rPh sb="1" eb="3">
      <t>シャシュ</t>
    </rPh>
    <rPh sb="3" eb="5">
      <t>クブン</t>
    </rPh>
    <rPh sb="6" eb="8">
      <t>センタク</t>
    </rPh>
    <phoneticPr fontId="2"/>
  </si>
  <si>
    <t>←運輸局を選択してください</t>
    <rPh sb="1" eb="3">
      <t>ウンユ</t>
    </rPh>
    <rPh sb="3" eb="4">
      <t>キョク</t>
    </rPh>
    <rPh sb="5" eb="7">
      <t>センタク</t>
    </rPh>
    <phoneticPr fontId="2"/>
  </si>
  <si>
    <t>※交替運転者配置料金を適用するときは、□をクリックしてください。</t>
    <rPh sb="1" eb="3">
      <t>コウタイ</t>
    </rPh>
    <rPh sb="3" eb="6">
      <t>ウンテンシャ</t>
    </rPh>
    <rPh sb="6" eb="8">
      <t>ハイチ</t>
    </rPh>
    <rPh sb="8" eb="10">
      <t>リョウキン</t>
    </rPh>
    <rPh sb="11" eb="13">
      <t>テキヨウ</t>
    </rPh>
    <phoneticPr fontId="2"/>
  </si>
  <si>
    <t>※特殊車両料金を適用するときは、□をクリックしてください。</t>
    <rPh sb="1" eb="3">
      <t>トクシュ</t>
    </rPh>
    <rPh sb="3" eb="5">
      <t>シャリョウ</t>
    </rPh>
    <rPh sb="5" eb="7">
      <t>リョウキン</t>
    </rPh>
    <rPh sb="8" eb="10">
      <t>テキヨウ</t>
    </rPh>
    <phoneticPr fontId="2"/>
  </si>
  <si>
    <t>貸切バスの運賃・料金簡易計算シミュレーター</t>
    <rPh sb="0" eb="2">
      <t>カシキリ</t>
    </rPh>
    <rPh sb="5" eb="7">
      <t>ウンチン</t>
    </rPh>
    <rPh sb="8" eb="10">
      <t>リョウキン</t>
    </rPh>
    <rPh sb="10" eb="12">
      <t>カンイ</t>
    </rPh>
    <rPh sb="12" eb="14">
      <t>ケイサン</t>
    </rPh>
    <phoneticPr fontId="2"/>
  </si>
  <si>
    <t>走行時間を入力してください→</t>
    <rPh sb="0" eb="2">
      <t>ソウコウ</t>
    </rPh>
    <rPh sb="2" eb="4">
      <t>ジカン</t>
    </rPh>
    <rPh sb="5" eb="7">
      <t>ニュウリョク</t>
    </rPh>
    <phoneticPr fontId="2"/>
  </si>
  <si>
    <t>←該当箇所を選択してください</t>
    <rPh sb="1" eb="3">
      <t>ガイトウ</t>
    </rPh>
    <rPh sb="3" eb="5">
      <t>カショ</t>
    </rPh>
    <rPh sb="6" eb="8">
      <t>センタク</t>
    </rPh>
    <phoneticPr fontId="2"/>
  </si>
  <si>
    <t>上限額①</t>
    <rPh sb="0" eb="3">
      <t>ジョウゲンガク</t>
    </rPh>
    <phoneticPr fontId="2"/>
  </si>
  <si>
    <t>下限額②</t>
    <rPh sb="0" eb="2">
      <t>カゲン</t>
    </rPh>
    <rPh sb="2" eb="3">
      <t>ガク</t>
    </rPh>
    <phoneticPr fontId="2"/>
  </si>
  <si>
    <t>①または①´</t>
    <phoneticPr fontId="2"/>
  </si>
  <si>
    <t>③</t>
    <phoneticPr fontId="2"/>
  </si>
  <si>
    <t>⑤</t>
    <phoneticPr fontId="2"/>
  </si>
  <si>
    <t>⑦</t>
    <phoneticPr fontId="2"/>
  </si>
  <si>
    <t>②</t>
    <phoneticPr fontId="2"/>
  </si>
  <si>
    <t>⑧</t>
    <phoneticPr fontId="2"/>
  </si>
  <si>
    <t>＋</t>
    <phoneticPr fontId="2"/>
  </si>
  <si>
    <t>北海道交</t>
    <rPh sb="0" eb="3">
      <t>ホッカイドウ</t>
    </rPh>
    <phoneticPr fontId="2"/>
  </si>
  <si>
    <t>東北交</t>
    <rPh sb="0" eb="2">
      <t>トウホク</t>
    </rPh>
    <phoneticPr fontId="2"/>
  </si>
  <si>
    <t>関東交</t>
    <rPh sb="0" eb="2">
      <t>カントウ</t>
    </rPh>
    <phoneticPr fontId="2"/>
  </si>
  <si>
    <t>北陸交</t>
    <rPh sb="0" eb="2">
      <t>ホクリク</t>
    </rPh>
    <phoneticPr fontId="2"/>
  </si>
  <si>
    <t>中部交</t>
    <rPh sb="0" eb="2">
      <t>チュウブ</t>
    </rPh>
    <phoneticPr fontId="2"/>
  </si>
  <si>
    <t>中国交</t>
    <rPh sb="0" eb="1">
      <t>チュウ</t>
    </rPh>
    <rPh sb="1" eb="2">
      <t>クニ</t>
    </rPh>
    <phoneticPr fontId="2"/>
  </si>
  <si>
    <t>近畿交</t>
    <rPh sb="0" eb="2">
      <t>キンキ</t>
    </rPh>
    <phoneticPr fontId="2"/>
  </si>
  <si>
    <t>四国交</t>
    <rPh sb="0" eb="2">
      <t>シコク</t>
    </rPh>
    <phoneticPr fontId="2"/>
  </si>
  <si>
    <t>沖縄交</t>
    <rPh sb="0" eb="2">
      <t>オキナワ</t>
    </rPh>
    <phoneticPr fontId="2"/>
  </si>
  <si>
    <t>九州交</t>
    <rPh sb="0" eb="2">
      <t>キュウシュウ</t>
    </rPh>
    <phoneticPr fontId="2"/>
  </si>
  <si>
    <t>上限額③</t>
    <phoneticPr fontId="2"/>
  </si>
  <si>
    <t>下限額④</t>
    <phoneticPr fontId="2"/>
  </si>
  <si>
    <t>下限額</t>
    <rPh sb="0" eb="2">
      <t>カゲン</t>
    </rPh>
    <rPh sb="2" eb="3">
      <t>ガク</t>
    </rPh>
    <phoneticPr fontId="2"/>
  </si>
  <si>
    <t>上限額③'</t>
    <phoneticPr fontId="2"/>
  </si>
  <si>
    <t>下限額④'</t>
    <phoneticPr fontId="2"/>
  </si>
  <si>
    <t>③</t>
    <phoneticPr fontId="2"/>
  </si>
  <si>
    <t>①または①´</t>
    <phoneticPr fontId="2"/>
  </si>
  <si>
    <t>④´</t>
    <phoneticPr fontId="2"/>
  </si>
  <si>
    <t>④´</t>
    <phoneticPr fontId="2"/>
  </si>
  <si>
    <t>⑥´</t>
    <phoneticPr fontId="2"/>
  </si>
  <si>
    <t>⑥´</t>
    <phoneticPr fontId="2"/>
  </si>
</sst>
</file>

<file path=xl/styles.xml><?xml version="1.0" encoding="utf-8"?>
<styleSheet xmlns="http://schemas.openxmlformats.org/spreadsheetml/2006/main">
  <numFmts count="16">
    <numFmt numFmtId="6" formatCode="&quot;¥&quot;#,##0;[Red]&quot;¥&quot;\-#,##0"/>
    <numFmt numFmtId="176" formatCode="#,###&quot;円&quot;"/>
    <numFmt numFmtId="177" formatCode="#,##0.0;[Red]\-#,##0.0"/>
    <numFmt numFmtId="178" formatCode="###&quot;時&quot;&quot;間&quot;"/>
    <numFmt numFmtId="179" formatCode="#,###&quot;㎞&quot;"/>
    <numFmt numFmtId="180" formatCode="#,##0&quot;円&quot;"/>
    <numFmt numFmtId="181" formatCode="h:mm;@"/>
    <numFmt numFmtId="182" formatCode="#,##0_);\(#,##0\)"/>
    <numFmt numFmtId="183" formatCode="00"/>
    <numFmt numFmtId="184" formatCode="##0&quot;時&quot;&quot;間&quot;"/>
    <numFmt numFmtId="185" formatCode="00&quot;分&quot;"/>
    <numFmt numFmtId="186" formatCode="0_);[Red]\(0\)"/>
    <numFmt numFmtId="187" formatCode="#0&quot;分&quot;"/>
    <numFmt numFmtId="188" formatCode="#,##0_);[Red]\(#,##0\)"/>
    <numFmt numFmtId="189" formatCode="#,##0_ ;[Red]\-#,##0\ "/>
    <numFmt numFmtId="190" formatCode="[h]:mm"/>
  </numFmts>
  <fonts count="4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1"/>
      <color rgb="FFFF0000"/>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b/>
      <sz val="12"/>
      <color theme="1"/>
      <name val="ＭＳ Ｐゴシック"/>
      <family val="3"/>
      <charset val="128"/>
      <scheme val="minor"/>
    </font>
    <font>
      <b/>
      <sz val="11"/>
      <name val="ＭＳ Ｐゴシック"/>
      <family val="3"/>
      <charset val="128"/>
      <scheme val="minor"/>
    </font>
    <font>
      <b/>
      <sz val="11"/>
      <color rgb="FF0070C0"/>
      <name val="ＭＳ Ｐゴシック"/>
      <family val="3"/>
      <charset val="128"/>
      <scheme val="minor"/>
    </font>
    <font>
      <b/>
      <sz val="16"/>
      <color rgb="FF002060"/>
      <name val="ＭＳ Ｐゴシック"/>
      <family val="3"/>
      <charset val="128"/>
      <scheme val="minor"/>
    </font>
    <font>
      <b/>
      <sz val="11"/>
      <color rgb="FF002060"/>
      <name val="ＭＳ Ｐゴシック"/>
      <family val="3"/>
      <charset val="128"/>
      <scheme val="minor"/>
    </font>
    <font>
      <b/>
      <sz val="9"/>
      <color theme="1"/>
      <name val="ＭＳ Ｐゴシック"/>
      <family val="3"/>
      <charset val="128"/>
      <scheme val="minor"/>
    </font>
    <font>
      <b/>
      <sz val="9"/>
      <color rgb="FFFF0000"/>
      <name val="ＭＳ Ｐゴシック"/>
      <family val="3"/>
      <charset val="128"/>
      <scheme val="minor"/>
    </font>
    <font>
      <b/>
      <sz val="10"/>
      <color rgb="FFFF0000"/>
      <name val="ＭＳ Ｐゴシック"/>
      <family val="3"/>
      <charset val="128"/>
      <scheme val="minor"/>
    </font>
    <font>
      <sz val="11"/>
      <color theme="1"/>
      <name val="ＭＳ Ｐゴシック"/>
      <family val="3"/>
      <charset val="128"/>
      <scheme val="minor"/>
    </font>
    <font>
      <b/>
      <sz val="24"/>
      <color theme="1"/>
      <name val="ＭＳ Ｐゴシック"/>
      <family val="3"/>
      <charset val="128"/>
      <scheme val="minor"/>
    </font>
    <font>
      <sz val="10"/>
      <color rgb="FF002060"/>
      <name val="ＭＳ Ｐゴシック"/>
      <family val="3"/>
      <charset val="128"/>
      <scheme val="minor"/>
    </font>
    <font>
      <sz val="8"/>
      <color rgb="FFFF0000"/>
      <name val="ＭＳ Ｐゴシック"/>
      <family val="3"/>
      <charset val="128"/>
      <scheme val="minor"/>
    </font>
    <font>
      <b/>
      <sz val="22"/>
      <color rgb="FF000000"/>
      <name val="ＭＳ Ｐゴシック"/>
      <family val="3"/>
      <charset val="128"/>
      <scheme val="minor"/>
    </font>
    <font>
      <b/>
      <sz val="14"/>
      <color theme="1"/>
      <name val="ＭＳ Ｐゴシック"/>
      <family val="3"/>
      <charset val="128"/>
      <scheme val="minor"/>
    </font>
    <font>
      <b/>
      <sz val="18"/>
      <color theme="1"/>
      <name val="ＭＳ Ｐゴシック"/>
      <family val="3"/>
      <charset val="128"/>
      <scheme val="minor"/>
    </font>
    <font>
      <sz val="11"/>
      <color rgb="FF002060"/>
      <name val="ＭＳ Ｐゴシック"/>
      <family val="3"/>
      <charset val="128"/>
      <scheme val="minor"/>
    </font>
    <font>
      <sz val="11"/>
      <color rgb="FFFF0000"/>
      <name val="ＭＳ Ｐゴシック"/>
      <family val="2"/>
      <charset val="128"/>
      <scheme val="minor"/>
    </font>
    <font>
      <b/>
      <sz val="11"/>
      <color theme="0"/>
      <name val="ＭＳ Ｐゴシック"/>
      <family val="3"/>
      <charset val="128"/>
      <scheme val="minor"/>
    </font>
    <font>
      <b/>
      <sz val="14"/>
      <color rgb="FF002060"/>
      <name val="ＭＳ Ｐゴシック"/>
      <family val="3"/>
      <charset val="128"/>
      <scheme val="minor"/>
    </font>
    <font>
      <b/>
      <sz val="10"/>
      <color theme="1"/>
      <name val="ＭＳ Ｐゴシック"/>
      <family val="3"/>
      <charset val="128"/>
      <scheme val="minor"/>
    </font>
    <font>
      <b/>
      <sz val="14"/>
      <color rgb="FF000000"/>
      <name val="ＭＳ Ｐゴシック"/>
      <family val="3"/>
      <charset val="128"/>
      <scheme val="minor"/>
    </font>
    <font>
      <b/>
      <sz val="9"/>
      <color rgb="FF002060"/>
      <name val="ＭＳ Ｐゴシック"/>
      <family val="3"/>
      <charset val="128"/>
      <scheme val="minor"/>
    </font>
    <font>
      <sz val="9"/>
      <color rgb="FFFF0000"/>
      <name val="ＭＳ Ｐゴシック"/>
      <family val="3"/>
      <charset val="128"/>
      <scheme val="minor"/>
    </font>
    <font>
      <b/>
      <sz val="16"/>
      <color rgb="FFFF0000"/>
      <name val="ＭＳ Ｐゴシック"/>
      <family val="3"/>
      <charset val="128"/>
      <scheme val="minor"/>
    </font>
    <font>
      <sz val="11"/>
      <color rgb="FFFF0000"/>
      <name val="ＭＳ Ｐゴシック"/>
      <family val="3"/>
      <charset val="128"/>
      <scheme val="minor"/>
    </font>
    <font>
      <sz val="9"/>
      <color rgb="FF000000"/>
      <name val="MS UI Gothic"/>
      <family val="3"/>
      <charset val="128"/>
    </font>
    <font>
      <b/>
      <sz val="22"/>
      <color theme="0"/>
      <name val="ＭＳ Ｐゴシック"/>
      <family val="3"/>
      <charset val="128"/>
      <scheme val="minor"/>
    </font>
    <font>
      <b/>
      <sz val="12"/>
      <color theme="0"/>
      <name val="ＭＳ Ｐゴシック"/>
      <family val="3"/>
      <charset val="128"/>
      <scheme val="minor"/>
    </font>
    <font>
      <b/>
      <sz val="20"/>
      <color rgb="FFFF0000"/>
      <name val="ＭＳ Ｐゴシック"/>
      <family val="3"/>
      <charset val="128"/>
      <scheme val="minor"/>
    </font>
    <font>
      <b/>
      <sz val="18"/>
      <color rgb="FFFF0000"/>
      <name val="ＭＳ Ｐゴシック"/>
      <family val="3"/>
      <charset val="128"/>
      <scheme val="minor"/>
    </font>
    <font>
      <sz val="10"/>
      <color rgb="FFFF0000"/>
      <name val="ＭＳ Ｐゴシック"/>
      <family val="3"/>
      <charset val="128"/>
      <scheme val="minor"/>
    </font>
    <font>
      <b/>
      <sz val="14"/>
      <color rgb="FFFF0000"/>
      <name val="ＭＳ Ｐゴシック"/>
      <family val="3"/>
      <charset val="128"/>
      <scheme val="minor"/>
    </font>
    <font>
      <sz val="10"/>
      <color theme="0"/>
      <name val="ＭＳ Ｐゴシック"/>
      <family val="3"/>
      <charset val="128"/>
      <scheme val="minor"/>
    </font>
    <font>
      <b/>
      <sz val="16"/>
      <name val="ＭＳ Ｐゴシック"/>
      <family val="3"/>
      <charset val="128"/>
      <scheme val="minor"/>
    </font>
    <font>
      <sz val="11"/>
      <color rgb="FF000000"/>
      <name val="ＭＳ Ｐゴシック"/>
      <family val="3"/>
      <charset val="128"/>
      <scheme val="minor"/>
    </font>
    <font>
      <b/>
      <sz val="22"/>
      <color rgb="FFFF0000"/>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right/>
      <top/>
      <bottom style="double">
        <color indexed="64"/>
      </bottom>
      <diagonal/>
    </border>
    <border>
      <left/>
      <right/>
      <top style="double">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334">
    <xf numFmtId="0" fontId="0" fillId="0" borderId="0" xfId="0">
      <alignment vertical="center"/>
    </xf>
    <xf numFmtId="38" fontId="4" fillId="0" borderId="0" xfId="1" applyFont="1" applyFill="1" applyBorder="1" applyProtection="1">
      <alignment vertical="center"/>
      <protection hidden="1"/>
    </xf>
    <xf numFmtId="38" fontId="10" fillId="0" borderId="0" xfId="1" applyFont="1" applyFill="1" applyAlignment="1" applyProtection="1">
      <alignment horizontal="center" vertical="center"/>
      <protection hidden="1"/>
    </xf>
    <xf numFmtId="38" fontId="10" fillId="0" borderId="0" xfId="1" applyFont="1" applyFill="1" applyProtection="1">
      <alignment vertical="center"/>
      <protection hidden="1"/>
    </xf>
    <xf numFmtId="38" fontId="4" fillId="0" borderId="4" xfId="1" applyFont="1" applyFill="1" applyBorder="1" applyProtection="1">
      <alignment vertical="center"/>
      <protection hidden="1"/>
    </xf>
    <xf numFmtId="38" fontId="4" fillId="0" borderId="0" xfId="1" applyFont="1" applyFill="1" applyProtection="1">
      <alignment vertical="center"/>
      <protection hidden="1"/>
    </xf>
    <xf numFmtId="38" fontId="5" fillId="0" borderId="0" xfId="1" applyFont="1" applyFill="1" applyBorder="1" applyAlignment="1" applyProtection="1">
      <alignment vertical="center"/>
      <protection hidden="1"/>
    </xf>
    <xf numFmtId="38" fontId="7" fillId="0" borderId="0" xfId="1" applyFont="1" applyFill="1" applyAlignment="1" applyProtection="1">
      <alignment vertical="center"/>
      <protection hidden="1"/>
    </xf>
    <xf numFmtId="0" fontId="0" fillId="0" borderId="5" xfId="0" applyBorder="1" applyProtection="1">
      <alignment vertical="center"/>
      <protection hidden="1"/>
    </xf>
    <xf numFmtId="0" fontId="0" fillId="0" borderId="5" xfId="0" applyBorder="1" applyAlignment="1" applyProtection="1">
      <alignment horizontal="center" vertical="center"/>
      <protection hidden="1"/>
    </xf>
    <xf numFmtId="38" fontId="3" fillId="0" borderId="0" xfId="1" applyFont="1" applyFill="1" applyProtection="1">
      <alignment vertical="center"/>
      <protection hidden="1"/>
    </xf>
    <xf numFmtId="38" fontId="23" fillId="0" borderId="0" xfId="1" applyFont="1" applyFill="1" applyProtection="1">
      <alignment vertical="center"/>
      <protection hidden="1"/>
    </xf>
    <xf numFmtId="180" fontId="22" fillId="0" borderId="5" xfId="1" applyNumberFormat="1" applyFont="1" applyBorder="1" applyProtection="1">
      <alignment vertical="center"/>
      <protection hidden="1"/>
    </xf>
    <xf numFmtId="0" fontId="0" fillId="0" borderId="5"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38" fontId="25" fillId="0" borderId="0" xfId="1" applyFont="1" applyFill="1" applyAlignment="1" applyProtection="1">
      <alignment vertical="top"/>
      <protection hidden="1"/>
    </xf>
    <xf numFmtId="38" fontId="5" fillId="0" borderId="0" xfId="1" applyFont="1" applyFill="1" applyBorder="1" applyProtection="1">
      <alignment vertical="center"/>
      <protection hidden="1"/>
    </xf>
    <xf numFmtId="38" fontId="14" fillId="0" borderId="0" xfId="1" applyFont="1" applyFill="1" applyProtection="1">
      <alignment vertical="center"/>
      <protection hidden="1"/>
    </xf>
    <xf numFmtId="38" fontId="4" fillId="0" borderId="0" xfId="1" applyFont="1" applyFill="1" applyBorder="1" applyAlignment="1" applyProtection="1">
      <alignment vertical="center"/>
      <protection hidden="1"/>
    </xf>
    <xf numFmtId="38" fontId="29" fillId="0" borderId="0" xfId="1" applyFont="1" applyFill="1" applyBorder="1" applyProtection="1">
      <alignment vertical="center"/>
      <protection hidden="1"/>
    </xf>
    <xf numFmtId="177" fontId="4" fillId="0" borderId="0" xfId="1" applyNumberFormat="1" applyFont="1" applyFill="1" applyProtection="1">
      <alignment vertical="center"/>
      <protection hidden="1"/>
    </xf>
    <xf numFmtId="38" fontId="7" fillId="0" borderId="0" xfId="1" applyFont="1" applyFill="1" applyProtection="1">
      <alignment vertical="center"/>
      <protection hidden="1"/>
    </xf>
    <xf numFmtId="38" fontId="16" fillId="0" borderId="0" xfId="1" applyFont="1" applyFill="1" applyAlignment="1" applyProtection="1">
      <alignment vertical="center"/>
      <protection hidden="1"/>
    </xf>
    <xf numFmtId="38" fontId="13" fillId="0" borderId="0" xfId="1" applyFont="1" applyFill="1" applyAlignment="1" applyProtection="1">
      <alignment vertical="top"/>
      <protection hidden="1"/>
    </xf>
    <xf numFmtId="38" fontId="30" fillId="0" borderId="0" xfId="1" applyFont="1" applyFill="1" applyProtection="1">
      <alignment vertical="center"/>
      <protection hidden="1"/>
    </xf>
    <xf numFmtId="38" fontId="3" fillId="0" borderId="0" xfId="1" applyFont="1" applyFill="1" applyBorder="1" applyProtection="1">
      <alignment vertical="center"/>
      <protection hidden="1"/>
    </xf>
    <xf numFmtId="38" fontId="3" fillId="0" borderId="0" xfId="1" applyFont="1" applyFill="1" applyAlignment="1" applyProtection="1">
      <alignment horizontal="right" vertical="center"/>
      <protection hidden="1"/>
    </xf>
    <xf numFmtId="38" fontId="36" fillId="0" borderId="0" xfId="1" applyFont="1" applyFill="1" applyAlignment="1" applyProtection="1">
      <alignment vertical="center"/>
      <protection hidden="1"/>
    </xf>
    <xf numFmtId="0" fontId="0" fillId="0" borderId="5" xfId="0" applyBorder="1" applyAlignment="1" applyProtection="1">
      <alignment horizontal="left" vertical="center" wrapText="1"/>
      <protection hidden="1"/>
    </xf>
    <xf numFmtId="0" fontId="0" fillId="0" borderId="0" xfId="0" applyAlignment="1">
      <alignment horizontal="left" vertical="center" wrapText="1"/>
    </xf>
    <xf numFmtId="38" fontId="4" fillId="0" borderId="0" xfId="1" applyFont="1" applyFill="1" applyProtection="1">
      <alignment vertical="center"/>
      <protection locked="0" hidden="1"/>
    </xf>
    <xf numFmtId="38" fontId="18" fillId="0" borderId="0" xfId="1" applyFont="1" applyFill="1" applyAlignment="1" applyProtection="1">
      <alignment vertical="center"/>
      <protection hidden="1"/>
    </xf>
    <xf numFmtId="38" fontId="18" fillId="0" borderId="1" xfId="1" applyFont="1" applyFill="1" applyBorder="1" applyAlignment="1" applyProtection="1">
      <alignment vertical="center"/>
      <protection hidden="1"/>
    </xf>
    <xf numFmtId="38" fontId="18" fillId="0" borderId="2" xfId="1" applyFont="1" applyFill="1" applyBorder="1" applyAlignment="1" applyProtection="1">
      <alignment vertical="center"/>
      <protection hidden="1"/>
    </xf>
    <xf numFmtId="38" fontId="18" fillId="0" borderId="3" xfId="1" applyFont="1" applyFill="1" applyBorder="1" applyAlignment="1" applyProtection="1">
      <alignment vertical="center"/>
      <protection hidden="1"/>
    </xf>
    <xf numFmtId="38" fontId="26" fillId="0" borderId="0" xfId="1" applyFont="1" applyFill="1" applyAlignment="1" applyProtection="1">
      <alignment vertical="center"/>
      <protection hidden="1"/>
    </xf>
    <xf numFmtId="38" fontId="18" fillId="0" borderId="0" xfId="1" applyFont="1" applyFill="1" applyBorder="1" applyAlignment="1" applyProtection="1">
      <alignment vertical="center"/>
      <protection hidden="1"/>
    </xf>
    <xf numFmtId="38" fontId="3" fillId="0" borderId="0" xfId="1" applyFont="1" applyFill="1" applyProtection="1">
      <alignment vertical="center"/>
      <protection locked="0" hidden="1"/>
    </xf>
    <xf numFmtId="38" fontId="19" fillId="0" borderId="0" xfId="1" applyFont="1" applyFill="1" applyProtection="1">
      <alignment vertical="center"/>
      <protection hidden="1"/>
    </xf>
    <xf numFmtId="38" fontId="6" fillId="0" borderId="0" xfId="1" applyFont="1" applyFill="1" applyProtection="1">
      <alignment vertical="center"/>
      <protection hidden="1"/>
    </xf>
    <xf numFmtId="38" fontId="3" fillId="0" borderId="0" xfId="1" applyFont="1" applyFill="1" applyAlignment="1" applyProtection="1">
      <alignment vertical="center"/>
      <protection hidden="1"/>
    </xf>
    <xf numFmtId="38" fontId="20" fillId="0" borderId="0" xfId="1" applyFont="1" applyFill="1" applyAlignment="1" applyProtection="1">
      <alignment vertical="top"/>
      <protection hidden="1"/>
    </xf>
    <xf numFmtId="38" fontId="24" fillId="0" borderId="0" xfId="1" applyFont="1" applyFill="1" applyAlignment="1" applyProtection="1">
      <alignment horizontal="center" vertical="center"/>
      <protection hidden="1"/>
    </xf>
    <xf numFmtId="38" fontId="7" fillId="0" borderId="0" xfId="1" applyFont="1" applyFill="1" applyAlignment="1" applyProtection="1">
      <alignment horizontal="left" vertical="center"/>
      <protection hidden="1"/>
    </xf>
    <xf numFmtId="38" fontId="4" fillId="0" borderId="0" xfId="1" applyFont="1" applyFill="1" applyAlignment="1" applyProtection="1">
      <alignment vertical="center"/>
      <protection hidden="1"/>
    </xf>
    <xf numFmtId="38" fontId="21" fillId="0" borderId="0" xfId="1" applyFont="1" applyFill="1" applyBorder="1" applyAlignment="1" applyProtection="1">
      <alignment horizontal="right" vertical="center"/>
      <protection hidden="1"/>
    </xf>
    <xf numFmtId="38" fontId="21" fillId="0" borderId="0" xfId="1" applyFont="1" applyFill="1" applyProtection="1">
      <alignment vertical="center"/>
      <protection hidden="1"/>
    </xf>
    <xf numFmtId="38" fontId="19" fillId="0" borderId="0" xfId="1" applyFont="1" applyFill="1" applyBorder="1" applyAlignment="1" applyProtection="1">
      <alignment horizontal="center" vertical="center"/>
      <protection hidden="1"/>
    </xf>
    <xf numFmtId="38" fontId="19" fillId="0" borderId="0" xfId="1" applyFont="1" applyFill="1" applyBorder="1" applyProtection="1">
      <alignment vertical="center"/>
      <protection hidden="1"/>
    </xf>
    <xf numFmtId="0" fontId="3" fillId="0" borderId="0" xfId="0" applyFont="1" applyFill="1" applyAlignment="1" applyProtection="1">
      <alignment horizontal="center" vertical="center"/>
      <protection hidden="1"/>
    </xf>
    <xf numFmtId="0" fontId="7" fillId="0" borderId="0" xfId="0" applyFont="1" applyFill="1" applyAlignment="1" applyProtection="1">
      <alignment horizontal="center"/>
      <protection hidden="1"/>
    </xf>
    <xf numFmtId="38" fontId="7" fillId="0" borderId="0" xfId="1" applyFont="1" applyFill="1" applyAlignment="1" applyProtection="1">
      <protection hidden="1"/>
    </xf>
    <xf numFmtId="38" fontId="10" fillId="0" borderId="0" xfId="1" applyFont="1" applyFill="1" applyBorder="1" applyAlignment="1" applyProtection="1">
      <alignment vertical="center"/>
      <protection hidden="1"/>
    </xf>
    <xf numFmtId="0" fontId="21" fillId="0" borderId="0" xfId="0" applyFont="1" applyFill="1" applyProtection="1">
      <alignment vertical="center"/>
      <protection hidden="1"/>
    </xf>
    <xf numFmtId="0" fontId="30" fillId="0" borderId="0" xfId="0" applyFont="1" applyFill="1" applyProtection="1">
      <alignment vertical="center"/>
      <protection hidden="1"/>
    </xf>
    <xf numFmtId="38" fontId="8" fillId="0" borderId="0" xfId="1" applyFont="1" applyFill="1" applyProtection="1">
      <alignment vertical="center"/>
      <protection hidden="1"/>
    </xf>
    <xf numFmtId="176" fontId="4" fillId="0" borderId="0" xfId="1" applyNumberFormat="1" applyFont="1" applyFill="1" applyAlignment="1" applyProtection="1">
      <alignment vertical="center"/>
      <protection hidden="1"/>
    </xf>
    <xf numFmtId="38" fontId="20" fillId="0" borderId="0" xfId="1" applyFont="1" applyFill="1" applyProtection="1">
      <alignment vertical="center"/>
      <protection hidden="1"/>
    </xf>
    <xf numFmtId="38" fontId="3" fillId="0" borderId="0" xfId="1" applyFont="1" applyFill="1" applyBorder="1" applyAlignment="1" applyProtection="1">
      <alignment horizontal="right" vertical="center"/>
      <protection hidden="1"/>
    </xf>
    <xf numFmtId="176" fontId="4" fillId="0" borderId="0" xfId="1" applyNumberFormat="1" applyFont="1" applyFill="1" applyBorder="1" applyAlignment="1" applyProtection="1">
      <alignment vertical="center"/>
      <protection hidden="1"/>
    </xf>
    <xf numFmtId="176" fontId="4" fillId="0" borderId="0" xfId="1" applyNumberFormat="1" applyFont="1" applyFill="1" applyBorder="1" applyAlignment="1" applyProtection="1">
      <alignment horizontal="center" vertical="center"/>
      <protection hidden="1"/>
    </xf>
    <xf numFmtId="38" fontId="3" fillId="0" borderId="0" xfId="1" applyFont="1" applyFill="1" applyAlignment="1" applyProtection="1">
      <alignment horizontal="left" vertical="center"/>
      <protection hidden="1"/>
    </xf>
    <xf numFmtId="180" fontId="4" fillId="0" borderId="0" xfId="1" applyNumberFormat="1" applyFont="1" applyFill="1" applyBorder="1" applyAlignment="1" applyProtection="1">
      <alignment vertical="center"/>
      <protection hidden="1"/>
    </xf>
    <xf numFmtId="176" fontId="3" fillId="0" borderId="0" xfId="1" applyNumberFormat="1" applyFont="1" applyFill="1" applyBorder="1" applyAlignment="1" applyProtection="1">
      <alignment vertical="center"/>
      <protection hidden="1"/>
    </xf>
    <xf numFmtId="38" fontId="3" fillId="0" borderId="0" xfId="1" applyFont="1" applyFill="1" applyAlignment="1" applyProtection="1">
      <alignment vertical="top"/>
      <protection hidden="1"/>
    </xf>
    <xf numFmtId="38" fontId="3" fillId="0" borderId="0" xfId="1" applyFont="1" applyFill="1" applyAlignment="1" applyProtection="1">
      <protection hidden="1"/>
    </xf>
    <xf numFmtId="38" fontId="21" fillId="0" borderId="0" xfId="1" applyFont="1" applyFill="1" applyAlignment="1" applyProtection="1">
      <alignment vertical="center"/>
      <protection hidden="1"/>
    </xf>
    <xf numFmtId="38" fontId="4" fillId="0" borderId="6" xfId="1" applyFont="1" applyFill="1" applyBorder="1" applyProtection="1">
      <alignment vertical="center"/>
      <protection hidden="1"/>
    </xf>
    <xf numFmtId="38" fontId="3" fillId="0" borderId="4" xfId="1" applyFont="1" applyFill="1" applyBorder="1" applyProtection="1">
      <alignment vertical="center"/>
      <protection hidden="1"/>
    </xf>
    <xf numFmtId="38" fontId="4" fillId="0" borderId="4" xfId="1" applyFont="1" applyFill="1" applyBorder="1" applyAlignment="1" applyProtection="1">
      <alignment horizontal="left" vertical="center"/>
      <protection hidden="1"/>
    </xf>
    <xf numFmtId="176" fontId="4" fillId="0" borderId="4" xfId="1" applyNumberFormat="1" applyFont="1" applyFill="1" applyBorder="1" applyAlignment="1" applyProtection="1">
      <alignment vertical="center"/>
      <protection hidden="1"/>
    </xf>
    <xf numFmtId="176" fontId="20" fillId="0" borderId="4" xfId="1" applyNumberFormat="1" applyFont="1" applyFill="1" applyBorder="1" applyAlignment="1" applyProtection="1">
      <alignment vertical="center"/>
      <protection hidden="1"/>
    </xf>
    <xf numFmtId="180" fontId="35" fillId="0" borderId="0" xfId="1" applyNumberFormat="1" applyFont="1" applyFill="1" applyAlignment="1" applyProtection="1">
      <alignment vertical="center"/>
      <protection hidden="1"/>
    </xf>
    <xf numFmtId="180" fontId="35" fillId="0" borderId="0" xfId="1" applyNumberFormat="1" applyFont="1" applyFill="1" applyAlignment="1" applyProtection="1">
      <alignment vertical="center" wrapText="1"/>
      <protection hidden="1"/>
    </xf>
    <xf numFmtId="180" fontId="34" fillId="0" borderId="0" xfId="1" applyNumberFormat="1" applyFont="1" applyFill="1" applyAlignment="1" applyProtection="1">
      <alignment vertical="center" wrapText="1"/>
      <protection hidden="1"/>
    </xf>
    <xf numFmtId="38" fontId="13" fillId="0" borderId="0" xfId="1" applyFont="1" applyFill="1" applyAlignment="1" applyProtection="1">
      <alignment vertical="top"/>
      <protection locked="0" hidden="1"/>
    </xf>
    <xf numFmtId="38" fontId="12" fillId="0" borderId="0" xfId="1" applyFont="1" applyFill="1" applyProtection="1">
      <alignment vertical="center"/>
      <protection hidden="1"/>
    </xf>
    <xf numFmtId="6" fontId="4" fillId="0" borderId="0" xfId="2" applyFont="1" applyFill="1" applyBorder="1" applyProtection="1">
      <alignment vertical="center"/>
      <protection hidden="1"/>
    </xf>
    <xf numFmtId="38" fontId="9" fillId="0" borderId="0" xfId="1" applyFont="1" applyFill="1" applyBorder="1" applyAlignment="1" applyProtection="1">
      <alignment vertical="center"/>
      <protection hidden="1"/>
    </xf>
    <xf numFmtId="38" fontId="16" fillId="0" borderId="0" xfId="1" applyFont="1" applyFill="1" applyProtection="1">
      <alignment vertical="center"/>
      <protection hidden="1"/>
    </xf>
    <xf numFmtId="38" fontId="23" fillId="0" borderId="0" xfId="1" applyFont="1" applyFill="1" applyBorder="1" applyAlignment="1" applyProtection="1">
      <alignment vertical="center"/>
      <protection hidden="1"/>
    </xf>
    <xf numFmtId="186" fontId="4" fillId="0" borderId="0" xfId="1" applyNumberFormat="1" applyFont="1" applyFill="1" applyAlignment="1" applyProtection="1">
      <alignment horizontal="right" vertical="center"/>
      <protection hidden="1"/>
    </xf>
    <xf numFmtId="181" fontId="4" fillId="0" borderId="0" xfId="1" applyNumberFormat="1" applyFont="1" applyFill="1" applyAlignment="1" applyProtection="1">
      <alignment vertical="center"/>
      <protection hidden="1"/>
    </xf>
    <xf numFmtId="38" fontId="23" fillId="0" borderId="0" xfId="1" applyFont="1" applyFill="1" applyAlignment="1" applyProtection="1">
      <alignment vertical="center"/>
      <protection hidden="1"/>
    </xf>
    <xf numFmtId="186" fontId="4" fillId="0" borderId="0" xfId="1" applyNumberFormat="1" applyFont="1" applyFill="1" applyProtection="1">
      <alignment vertical="center"/>
      <protection hidden="1"/>
    </xf>
    <xf numFmtId="186" fontId="4" fillId="0" borderId="0" xfId="1" applyNumberFormat="1" applyFont="1" applyFill="1" applyAlignment="1" applyProtection="1">
      <alignment horizontal="left" vertical="center"/>
      <protection hidden="1"/>
    </xf>
    <xf numFmtId="0" fontId="17"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Fill="1" applyAlignment="1" applyProtection="1">
      <alignment horizontal="center"/>
      <protection hidden="1"/>
    </xf>
    <xf numFmtId="0" fontId="16" fillId="0" borderId="0" xfId="0" applyFont="1" applyFill="1" applyProtection="1">
      <alignment vertical="center"/>
      <protection hidden="1"/>
    </xf>
    <xf numFmtId="0" fontId="28" fillId="0" borderId="0" xfId="0" applyFont="1" applyFill="1" applyProtection="1">
      <alignment vertical="center"/>
      <protection hidden="1"/>
    </xf>
    <xf numFmtId="38" fontId="11" fillId="0" borderId="0" xfId="1" applyFont="1" applyFill="1" applyProtection="1">
      <alignment vertical="center"/>
      <protection hidden="1"/>
    </xf>
    <xf numFmtId="38" fontId="5" fillId="0" borderId="0" xfId="1" applyFont="1" applyFill="1" applyProtection="1">
      <alignment vertical="center"/>
      <protection hidden="1"/>
    </xf>
    <xf numFmtId="38" fontId="13" fillId="0" borderId="0" xfId="1" applyFont="1" applyFill="1" applyProtection="1">
      <alignment vertical="center"/>
      <protection hidden="1"/>
    </xf>
    <xf numFmtId="176" fontId="5" fillId="0" borderId="0" xfId="1" applyNumberFormat="1" applyFont="1" applyFill="1" applyAlignment="1" applyProtection="1">
      <alignment vertical="center"/>
      <protection hidden="1"/>
    </xf>
    <xf numFmtId="38" fontId="3" fillId="0" borderId="0" xfId="1" applyFont="1" applyFill="1" applyBorder="1" applyProtection="1">
      <alignment vertical="center"/>
      <protection locked="0" hidden="1"/>
    </xf>
    <xf numFmtId="38" fontId="29" fillId="0" borderId="0" xfId="1" applyFont="1" applyFill="1" applyProtection="1">
      <alignment vertical="center"/>
      <protection locked="0" hidden="1"/>
    </xf>
    <xf numFmtId="38" fontId="29" fillId="0" borderId="0" xfId="1" applyFont="1" applyFill="1" applyBorder="1" applyProtection="1">
      <alignment vertical="center"/>
      <protection locked="0" hidden="1"/>
    </xf>
    <xf numFmtId="38" fontId="3" fillId="0" borderId="0" xfId="1" quotePrefix="1" applyFont="1" applyFill="1" applyProtection="1">
      <alignment vertical="center"/>
      <protection locked="0" hidden="1"/>
    </xf>
    <xf numFmtId="38" fontId="32" fillId="0" borderId="0" xfId="1" applyFont="1" applyFill="1" applyAlignment="1" applyProtection="1">
      <alignment horizontal="center" vertical="center"/>
      <protection hidden="1"/>
    </xf>
    <xf numFmtId="38" fontId="33" fillId="0" borderId="0" xfId="1" applyFont="1" applyFill="1" applyAlignment="1" applyProtection="1">
      <alignment horizontal="center" vertical="center"/>
      <protection hidden="1"/>
    </xf>
    <xf numFmtId="38" fontId="33" fillId="0" borderId="0" xfId="1" applyFont="1" applyFill="1" applyAlignment="1" applyProtection="1">
      <alignment horizontal="left" vertical="center"/>
      <protection hidden="1"/>
    </xf>
    <xf numFmtId="38" fontId="13" fillId="0" borderId="0" xfId="1" applyFont="1" applyFill="1" applyAlignment="1" applyProtection="1">
      <alignment vertical="center"/>
      <protection hidden="1"/>
    </xf>
    <xf numFmtId="38" fontId="32" fillId="0" borderId="0" xfId="1" applyFont="1" applyFill="1" applyAlignment="1" applyProtection="1">
      <alignment horizontal="left" vertical="center"/>
      <protection hidden="1"/>
    </xf>
    <xf numFmtId="38" fontId="3" fillId="0" borderId="0" xfId="1" applyFont="1" applyFill="1" applyAlignment="1" applyProtection="1">
      <alignment vertical="center"/>
      <protection locked="0" hidden="1"/>
    </xf>
    <xf numFmtId="186" fontId="3" fillId="0" borderId="0" xfId="1" applyNumberFormat="1" applyFont="1" applyFill="1" applyAlignment="1" applyProtection="1">
      <alignment horizontal="right" vertical="center"/>
      <protection locked="0" hidden="1"/>
    </xf>
    <xf numFmtId="186" fontId="3" fillId="0" borderId="0" xfId="1" applyNumberFormat="1" applyFont="1" applyFill="1" applyAlignment="1" applyProtection="1">
      <alignment horizontal="left" vertical="center"/>
      <protection locked="0" hidden="1"/>
    </xf>
    <xf numFmtId="186" fontId="3" fillId="0" borderId="0" xfId="1" applyNumberFormat="1" applyFont="1" applyFill="1" applyProtection="1">
      <alignment vertical="center"/>
      <protection locked="0" hidden="1"/>
    </xf>
    <xf numFmtId="38" fontId="7" fillId="0" borderId="0" xfId="1" applyFont="1" applyFill="1" applyProtection="1">
      <alignment vertical="center"/>
      <protection locked="0" hidden="1"/>
    </xf>
    <xf numFmtId="0" fontId="30" fillId="0" borderId="0" xfId="0" applyFont="1" applyFill="1" applyAlignment="1" applyProtection="1">
      <alignment vertical="center"/>
      <protection hidden="1"/>
    </xf>
    <xf numFmtId="38" fontId="37" fillId="0" borderId="0" xfId="1" applyFont="1" applyFill="1" applyAlignment="1" applyProtection="1">
      <alignment vertical="center"/>
      <protection hidden="1"/>
    </xf>
    <xf numFmtId="38" fontId="4" fillId="0" borderId="0" xfId="1" applyFont="1" applyFill="1" applyAlignment="1" applyProtection="1">
      <alignment horizontal="center" vertical="center"/>
      <protection hidden="1"/>
    </xf>
    <xf numFmtId="38" fontId="4" fillId="0" borderId="0" xfId="1" applyFont="1" applyFill="1" applyBorder="1" applyAlignment="1" applyProtection="1">
      <alignment horizontal="right" vertical="center"/>
      <protection hidden="1"/>
    </xf>
    <xf numFmtId="38" fontId="4" fillId="0" borderId="4" xfId="1" applyFont="1" applyFill="1" applyBorder="1" applyAlignment="1" applyProtection="1">
      <alignment horizontal="right" vertical="center"/>
      <protection hidden="1"/>
    </xf>
    <xf numFmtId="38" fontId="4" fillId="0" borderId="0" xfId="1" applyFont="1" applyFill="1" applyAlignment="1" applyProtection="1">
      <alignment horizontal="right" vertical="center"/>
      <protection hidden="1"/>
    </xf>
    <xf numFmtId="38" fontId="23" fillId="0" borderId="0" xfId="1" applyFont="1" applyFill="1" applyAlignment="1" applyProtection="1">
      <alignment horizontal="center" vertical="center"/>
      <protection hidden="1"/>
    </xf>
    <xf numFmtId="176" fontId="4" fillId="0" borderId="0" xfId="1" applyNumberFormat="1" applyFont="1" applyFill="1" applyAlignment="1" applyProtection="1">
      <alignment horizontal="right" vertical="center"/>
      <protection hidden="1"/>
    </xf>
    <xf numFmtId="176" fontId="4" fillId="0" borderId="0" xfId="1" applyNumberFormat="1" applyFont="1" applyFill="1" applyAlignment="1" applyProtection="1">
      <alignment horizontal="center" vertical="center"/>
      <protection hidden="1"/>
    </xf>
    <xf numFmtId="9" fontId="4" fillId="0" borderId="0" xfId="1" applyNumberFormat="1" applyFont="1" applyFill="1" applyAlignment="1" applyProtection="1">
      <alignment horizontal="center" vertical="center"/>
      <protection hidden="1"/>
    </xf>
    <xf numFmtId="180" fontId="4" fillId="0" borderId="0" xfId="1" applyNumberFormat="1" applyFont="1" applyFill="1" applyAlignment="1" applyProtection="1">
      <alignment horizontal="center" vertical="center"/>
      <protection hidden="1"/>
    </xf>
    <xf numFmtId="178" fontId="4" fillId="0" borderId="0" xfId="1" applyNumberFormat="1" applyFont="1" applyFill="1" applyAlignment="1" applyProtection="1">
      <alignment horizontal="center" vertical="center"/>
      <protection hidden="1"/>
    </xf>
    <xf numFmtId="38" fontId="3" fillId="0" borderId="0" xfId="1" applyFont="1" applyFill="1" applyBorder="1" applyAlignment="1" applyProtection="1">
      <alignment vertical="center"/>
      <protection hidden="1"/>
    </xf>
    <xf numFmtId="38" fontId="18" fillId="0" borderId="0" xfId="1" applyFont="1" applyFill="1" applyAlignment="1" applyProtection="1">
      <alignment horizontal="center" vertical="center"/>
      <protection hidden="1"/>
    </xf>
    <xf numFmtId="38" fontId="4" fillId="0" borderId="0" xfId="1" applyFont="1" applyFill="1" applyBorder="1" applyAlignment="1" applyProtection="1">
      <alignment horizontal="center" vertical="center"/>
      <protection hidden="1"/>
    </xf>
    <xf numFmtId="38" fontId="4" fillId="0" borderId="0" xfId="1" applyFont="1" applyFill="1" applyAlignment="1" applyProtection="1">
      <alignment horizontal="left" vertical="center"/>
      <protection hidden="1"/>
    </xf>
    <xf numFmtId="38" fontId="7" fillId="0" borderId="0" xfId="1" applyFont="1" applyFill="1" applyAlignment="1" applyProtection="1">
      <alignment horizontal="center" vertical="center"/>
      <protection hidden="1"/>
    </xf>
    <xf numFmtId="176" fontId="3" fillId="0" borderId="0" xfId="1" applyNumberFormat="1" applyFont="1" applyFill="1" applyAlignment="1" applyProtection="1">
      <alignment horizontal="center" vertical="center"/>
      <protection hidden="1"/>
    </xf>
    <xf numFmtId="176" fontId="10" fillId="0" borderId="0" xfId="1" applyNumberFormat="1" applyFont="1" applyFill="1" applyAlignment="1" applyProtection="1">
      <alignment horizontal="center" vertical="center"/>
      <protection hidden="1"/>
    </xf>
    <xf numFmtId="38" fontId="3" fillId="0" borderId="0" xfId="1" applyFont="1" applyFill="1" applyAlignment="1" applyProtection="1">
      <alignment horizontal="center"/>
      <protection hidden="1"/>
    </xf>
    <xf numFmtId="38" fontId="5" fillId="0" borderId="0" xfId="1" applyFont="1" applyFill="1" applyAlignment="1" applyProtection="1">
      <alignment horizontal="left" vertical="center"/>
      <protection hidden="1"/>
    </xf>
    <xf numFmtId="38" fontId="3" fillId="0" borderId="0" xfId="1" applyFont="1" applyFill="1" applyAlignment="1" applyProtection="1">
      <alignment horizontal="center" vertical="center"/>
      <protection hidden="1"/>
    </xf>
    <xf numFmtId="38" fontId="3" fillId="0" borderId="0" xfId="1" applyFont="1" applyFill="1" applyAlignment="1" applyProtection="1">
      <alignment horizontal="left" vertical="top"/>
      <protection hidden="1"/>
    </xf>
    <xf numFmtId="38" fontId="20" fillId="0" borderId="0" xfId="1" applyFont="1" applyFill="1" applyAlignment="1" applyProtection="1">
      <alignment horizontal="left" vertical="top"/>
      <protection hidden="1"/>
    </xf>
    <xf numFmtId="38" fontId="23" fillId="0" borderId="0" xfId="1" applyFont="1" applyFill="1" applyProtection="1">
      <alignment vertical="center"/>
      <protection locked="0" hidden="1"/>
    </xf>
    <xf numFmtId="38" fontId="23" fillId="0" borderId="0" xfId="1" applyFont="1" applyFill="1" applyBorder="1" applyProtection="1">
      <alignment vertical="center"/>
      <protection locked="0" hidden="1"/>
    </xf>
    <xf numFmtId="38" fontId="38" fillId="0" borderId="0" xfId="1" applyFont="1" applyFill="1" applyAlignment="1" applyProtection="1">
      <alignment vertical="center"/>
      <protection locked="0" hidden="1"/>
    </xf>
    <xf numFmtId="176" fontId="23" fillId="0" borderId="0" xfId="1" applyNumberFormat="1" applyFont="1" applyFill="1" applyAlignment="1" applyProtection="1">
      <alignment horizontal="center" vertical="center"/>
      <protection locked="0" hidden="1"/>
    </xf>
    <xf numFmtId="180" fontId="35" fillId="0" borderId="0" xfId="1" applyNumberFormat="1" applyFont="1" applyFill="1" applyAlignment="1" applyProtection="1">
      <alignment horizontal="left" vertical="center"/>
      <protection hidden="1"/>
    </xf>
    <xf numFmtId="38" fontId="3" fillId="2" borderId="0" xfId="1" applyFont="1" applyFill="1" applyProtection="1">
      <alignment vertical="center"/>
      <protection locked="0" hidden="1"/>
    </xf>
    <xf numFmtId="38" fontId="7" fillId="2" borderId="0" xfId="1" applyFont="1" applyFill="1" applyProtection="1">
      <alignment vertical="center"/>
      <protection locked="0" hidden="1"/>
    </xf>
    <xf numFmtId="176" fontId="39" fillId="0" borderId="0" xfId="1" applyNumberFormat="1" applyFont="1" applyFill="1" applyBorder="1" applyAlignment="1" applyProtection="1">
      <alignment vertical="center"/>
      <protection hidden="1"/>
    </xf>
    <xf numFmtId="38" fontId="7" fillId="0" borderId="0" xfId="1" applyFont="1" applyFill="1" applyAlignment="1" applyProtection="1">
      <alignment horizontal="center" vertical="center"/>
      <protection locked="0" hidden="1"/>
    </xf>
    <xf numFmtId="38" fontId="7" fillId="0" borderId="0" xfId="1" applyFont="1" applyFill="1" applyBorder="1" applyProtection="1">
      <alignment vertical="center"/>
      <protection locked="0" hidden="1"/>
    </xf>
    <xf numFmtId="38" fontId="13" fillId="0" borderId="0" xfId="1" applyFont="1" applyFill="1" applyBorder="1" applyAlignment="1" applyProtection="1">
      <alignment vertical="center"/>
      <protection hidden="1"/>
    </xf>
    <xf numFmtId="38" fontId="4" fillId="0" borderId="0" xfId="1" applyFont="1" applyFill="1" applyAlignment="1" applyProtection="1">
      <alignment horizontal="center" vertical="center"/>
      <protection hidden="1"/>
    </xf>
    <xf numFmtId="38" fontId="4" fillId="0" borderId="0" xfId="1" applyFont="1" applyFill="1" applyBorder="1" applyAlignment="1" applyProtection="1">
      <alignment horizontal="right" vertical="center"/>
      <protection hidden="1"/>
    </xf>
    <xf numFmtId="176" fontId="4" fillId="0" borderId="0" xfId="1" applyNumberFormat="1" applyFont="1" applyFill="1" applyAlignment="1" applyProtection="1">
      <alignment horizontal="center" vertical="center"/>
      <protection hidden="1"/>
    </xf>
    <xf numFmtId="9" fontId="4" fillId="0" borderId="0" xfId="1" applyNumberFormat="1" applyFont="1" applyFill="1" applyAlignment="1" applyProtection="1">
      <alignment horizontal="center" vertical="center"/>
      <protection hidden="1"/>
    </xf>
    <xf numFmtId="178" fontId="7" fillId="0" borderId="0" xfId="1" applyNumberFormat="1" applyFont="1" applyFill="1" applyBorder="1" applyAlignment="1" applyProtection="1">
      <alignment horizontal="center" vertical="center"/>
      <protection hidden="1"/>
    </xf>
    <xf numFmtId="38" fontId="4" fillId="0" borderId="0" xfId="1" applyFont="1" applyFill="1" applyAlignment="1" applyProtection="1">
      <alignment horizontal="right" vertical="center"/>
      <protection hidden="1"/>
    </xf>
    <xf numFmtId="176" fontId="4" fillId="0" borderId="0" xfId="1" applyNumberFormat="1" applyFont="1" applyFill="1" applyAlignment="1" applyProtection="1">
      <alignment horizontal="right" vertical="center"/>
      <protection hidden="1"/>
    </xf>
    <xf numFmtId="38" fontId="23" fillId="0" borderId="0" xfId="1" applyFont="1" applyFill="1" applyAlignment="1" applyProtection="1">
      <alignment horizontal="center" vertical="center"/>
      <protection hidden="1"/>
    </xf>
    <xf numFmtId="38" fontId="4" fillId="0" borderId="0" xfId="1" applyFont="1" applyFill="1" applyAlignment="1" applyProtection="1">
      <alignment horizontal="left" vertical="center"/>
      <protection hidden="1"/>
    </xf>
    <xf numFmtId="38" fontId="7" fillId="0" borderId="0" xfId="1" applyFont="1" applyFill="1" applyAlignment="1" applyProtection="1">
      <alignment horizontal="center" vertical="center"/>
      <protection hidden="1"/>
    </xf>
    <xf numFmtId="179" fontId="4" fillId="0" borderId="0" xfId="1" applyNumberFormat="1" applyFont="1" applyFill="1" applyAlignment="1" applyProtection="1">
      <alignment horizontal="center" vertical="center"/>
      <protection hidden="1"/>
    </xf>
    <xf numFmtId="180" fontId="4" fillId="0" borderId="0" xfId="1" applyNumberFormat="1" applyFont="1" applyFill="1" applyAlignment="1" applyProtection="1">
      <alignment horizontal="center" vertical="center"/>
      <protection hidden="1"/>
    </xf>
    <xf numFmtId="38" fontId="3" fillId="0" borderId="0" xfId="1" applyFont="1" applyFill="1" applyBorder="1" applyAlignment="1" applyProtection="1">
      <alignment vertical="center"/>
      <protection hidden="1"/>
    </xf>
    <xf numFmtId="38" fontId="4" fillId="0" borderId="4" xfId="1" applyFont="1" applyFill="1" applyBorder="1" applyAlignment="1" applyProtection="1">
      <alignment horizontal="right" vertical="center"/>
      <protection hidden="1"/>
    </xf>
    <xf numFmtId="38" fontId="3" fillId="0" borderId="0" xfId="1" applyFont="1" applyFill="1" applyAlignment="1" applyProtection="1">
      <alignment horizontal="left" vertical="top"/>
      <protection hidden="1"/>
    </xf>
    <xf numFmtId="180" fontId="5" fillId="0" borderId="0" xfId="1" applyNumberFormat="1" applyFont="1" applyFill="1" applyAlignment="1" applyProtection="1">
      <alignment horizontal="center" vertical="center"/>
      <protection hidden="1"/>
    </xf>
    <xf numFmtId="181" fontId="4" fillId="0" borderId="0" xfId="1" applyNumberFormat="1" applyFont="1" applyFill="1" applyAlignment="1" applyProtection="1">
      <alignment horizontal="center" vertical="center"/>
      <protection hidden="1"/>
    </xf>
    <xf numFmtId="38" fontId="29" fillId="0" borderId="0" xfId="1" applyFont="1" applyFill="1" applyAlignment="1" applyProtection="1">
      <alignment horizontal="right" vertical="center"/>
      <protection locked="0" hidden="1"/>
    </xf>
    <xf numFmtId="38" fontId="18" fillId="0" borderId="0" xfId="1" applyFont="1" applyFill="1" applyAlignment="1" applyProtection="1">
      <alignment horizontal="left" vertical="center"/>
      <protection hidden="1"/>
    </xf>
    <xf numFmtId="38" fontId="5" fillId="0" borderId="0" xfId="1" applyFont="1" applyFill="1" applyBorder="1" applyAlignment="1" applyProtection="1">
      <alignment horizontal="center" vertical="center"/>
      <protection hidden="1"/>
    </xf>
    <xf numFmtId="176" fontId="5" fillId="0" borderId="0" xfId="1" applyNumberFormat="1" applyFont="1" applyFill="1" applyAlignment="1" applyProtection="1">
      <alignment horizontal="center" vertical="center"/>
      <protection hidden="1"/>
    </xf>
    <xf numFmtId="176" fontId="6" fillId="0" borderId="0" xfId="1" applyNumberFormat="1" applyFont="1" applyFill="1" applyAlignment="1" applyProtection="1">
      <alignment horizontal="center" vertical="center"/>
      <protection hidden="1"/>
    </xf>
    <xf numFmtId="187" fontId="3" fillId="0" borderId="0" xfId="1" applyNumberFormat="1" applyFont="1" applyFill="1" applyAlignment="1" applyProtection="1">
      <alignment horizontal="left" vertical="center"/>
      <protection locked="0" hidden="1"/>
    </xf>
    <xf numFmtId="38" fontId="3" fillId="0" borderId="0" xfId="1" applyFont="1" applyFill="1" applyAlignment="1" applyProtection="1">
      <alignment horizontal="center" vertical="center"/>
      <protection locked="0" hidden="1"/>
    </xf>
    <xf numFmtId="38" fontId="41" fillId="0" borderId="0" xfId="1" applyFont="1" applyFill="1" applyAlignment="1" applyProtection="1">
      <alignment horizontal="left" vertical="center"/>
      <protection locked="0" hidden="1"/>
    </xf>
    <xf numFmtId="38" fontId="3" fillId="0" borderId="0" xfId="1" applyFont="1" applyFill="1" applyAlignment="1" applyProtection="1">
      <alignment horizontal="center" vertical="center" textRotation="255"/>
      <protection locked="0" hidden="1"/>
    </xf>
    <xf numFmtId="178" fontId="3" fillId="0" borderId="0" xfId="1" applyNumberFormat="1" applyFont="1" applyFill="1" applyAlignment="1" applyProtection="1">
      <alignment vertical="center"/>
      <protection locked="0" hidden="1"/>
    </xf>
    <xf numFmtId="38" fontId="3" fillId="0" borderId="0" xfId="1" applyFont="1" applyFill="1" applyBorder="1" applyAlignment="1" applyProtection="1">
      <alignment vertical="center"/>
      <protection locked="0" hidden="1"/>
    </xf>
    <xf numFmtId="38" fontId="36" fillId="0" borderId="0" xfId="1" applyFont="1" applyFill="1" applyAlignment="1" applyProtection="1">
      <alignment vertical="center"/>
      <protection locked="0" hidden="1"/>
    </xf>
    <xf numFmtId="38" fontId="4" fillId="0" borderId="0" xfId="1" applyFont="1" applyFill="1" applyProtection="1">
      <alignment vertical="center"/>
    </xf>
    <xf numFmtId="38" fontId="4" fillId="0" borderId="0" xfId="1" applyFont="1" applyFill="1" applyAlignment="1" applyProtection="1">
      <alignment horizontal="center" vertical="center"/>
      <protection locked="0" hidden="1"/>
    </xf>
    <xf numFmtId="38" fontId="25" fillId="0" borderId="0" xfId="1" applyFont="1" applyFill="1" applyAlignment="1" applyProtection="1">
      <alignment vertical="top"/>
      <protection locked="0" hidden="1"/>
    </xf>
    <xf numFmtId="38" fontId="5" fillId="0" borderId="0" xfId="1" applyFont="1" applyFill="1" applyBorder="1" applyAlignment="1" applyProtection="1">
      <alignment vertical="center"/>
      <protection locked="0" hidden="1"/>
    </xf>
    <xf numFmtId="38" fontId="5" fillId="0" borderId="0" xfId="1" applyFont="1" applyFill="1" applyBorder="1" applyProtection="1">
      <alignment vertical="center"/>
      <protection locked="0" hidden="1"/>
    </xf>
    <xf numFmtId="38" fontId="4" fillId="0" borderId="0" xfId="1" applyFont="1" applyFill="1" applyBorder="1" applyProtection="1">
      <alignment vertical="center"/>
      <protection locked="0" hidden="1"/>
    </xf>
    <xf numFmtId="177" fontId="4" fillId="0" borderId="0" xfId="1" applyNumberFormat="1" applyFont="1" applyFill="1" applyProtection="1">
      <alignment vertical="center"/>
      <protection locked="0" hidden="1"/>
    </xf>
    <xf numFmtId="38" fontId="4" fillId="0" borderId="0" xfId="1" applyFont="1" applyFill="1" applyAlignment="1" applyProtection="1">
      <alignment horizontal="left" vertical="center"/>
      <protection locked="0" hidden="1"/>
    </xf>
    <xf numFmtId="38" fontId="4" fillId="0" borderId="0" xfId="1" applyFont="1" applyFill="1" applyAlignment="1" applyProtection="1">
      <alignment horizontal="right" vertical="center"/>
      <protection locked="0" hidden="1"/>
    </xf>
    <xf numFmtId="176" fontId="39" fillId="0" borderId="0" xfId="1" applyNumberFormat="1" applyFont="1" applyFill="1" applyBorder="1" applyAlignment="1" applyProtection="1">
      <alignment vertical="center"/>
      <protection locked="0" hidden="1"/>
    </xf>
    <xf numFmtId="38" fontId="39" fillId="0" borderId="0" xfId="1" applyFont="1" applyFill="1" applyBorder="1" applyAlignment="1" applyProtection="1">
      <alignment vertical="center"/>
      <protection locked="0" hidden="1"/>
    </xf>
    <xf numFmtId="38" fontId="4" fillId="0" borderId="0" xfId="1" applyFont="1" applyFill="1" applyAlignment="1" applyProtection="1">
      <alignment horizontal="center" vertical="center"/>
      <protection hidden="1"/>
    </xf>
    <xf numFmtId="180" fontId="4" fillId="0" borderId="0" xfId="1" applyNumberFormat="1" applyFont="1" applyFill="1" applyAlignment="1" applyProtection="1">
      <alignment horizontal="center" vertical="center"/>
      <protection hidden="1"/>
    </xf>
    <xf numFmtId="178" fontId="4" fillId="0" borderId="0" xfId="1" applyNumberFormat="1" applyFont="1" applyFill="1" applyAlignment="1" applyProtection="1">
      <alignment horizontal="center" vertical="center"/>
      <protection hidden="1"/>
    </xf>
    <xf numFmtId="176" fontId="4" fillId="0" borderId="0" xfId="1" applyNumberFormat="1" applyFont="1" applyFill="1" applyAlignment="1" applyProtection="1">
      <alignment horizontal="center" vertical="center"/>
      <protection hidden="1"/>
    </xf>
    <xf numFmtId="180" fontId="4" fillId="0" borderId="0" xfId="1" applyNumberFormat="1" applyFont="1" applyFill="1" applyBorder="1" applyAlignment="1" applyProtection="1">
      <alignment horizontal="center" vertical="center"/>
      <protection hidden="1"/>
    </xf>
    <xf numFmtId="38" fontId="3" fillId="0" borderId="0" xfId="1" applyFont="1" applyFill="1" applyBorder="1" applyAlignment="1" applyProtection="1">
      <alignment vertical="center"/>
      <protection hidden="1"/>
    </xf>
    <xf numFmtId="9" fontId="4" fillId="0" borderId="0" xfId="1" applyNumberFormat="1" applyFont="1" applyFill="1" applyAlignment="1" applyProtection="1">
      <alignment horizontal="center" vertical="center"/>
      <protection hidden="1"/>
    </xf>
    <xf numFmtId="38" fontId="18" fillId="0" borderId="0" xfId="1" applyFont="1" applyFill="1" applyAlignment="1" applyProtection="1">
      <alignment horizontal="center" vertical="center"/>
      <protection hidden="1"/>
    </xf>
    <xf numFmtId="38" fontId="4" fillId="0" borderId="0" xfId="1" applyFont="1" applyFill="1" applyBorder="1" applyAlignment="1" applyProtection="1">
      <alignment horizontal="center" vertical="center"/>
      <protection hidden="1"/>
    </xf>
    <xf numFmtId="38" fontId="7" fillId="0" borderId="0" xfId="1" applyFont="1" applyFill="1" applyAlignment="1" applyProtection="1">
      <alignment horizontal="center"/>
      <protection hidden="1"/>
    </xf>
    <xf numFmtId="38" fontId="4" fillId="0" borderId="0" xfId="1" applyFont="1" applyFill="1" applyAlignment="1" applyProtection="1">
      <alignment horizontal="left" vertical="center"/>
      <protection hidden="1"/>
    </xf>
    <xf numFmtId="38" fontId="7" fillId="0" borderId="0" xfId="1" applyFont="1" applyFill="1" applyAlignment="1" applyProtection="1">
      <alignment horizontal="center" vertical="center"/>
      <protection hidden="1"/>
    </xf>
    <xf numFmtId="176" fontId="10" fillId="0" borderId="0" xfId="1" applyNumberFormat="1" applyFont="1" applyFill="1" applyAlignment="1" applyProtection="1">
      <alignment horizontal="center" vertical="center"/>
      <protection hidden="1"/>
    </xf>
    <xf numFmtId="38" fontId="3" fillId="0" borderId="0" xfId="1" applyFont="1" applyFill="1" applyAlignment="1" applyProtection="1">
      <alignment horizontal="center" vertical="center"/>
      <protection hidden="1"/>
    </xf>
    <xf numFmtId="38" fontId="5" fillId="0" borderId="0" xfId="1" applyFont="1" applyFill="1" applyBorder="1" applyAlignment="1" applyProtection="1">
      <alignment horizontal="center" vertical="center"/>
      <protection hidden="1"/>
    </xf>
    <xf numFmtId="38" fontId="3" fillId="0" borderId="0" xfId="1" applyFont="1" applyFill="1" applyBorder="1" applyAlignment="1" applyProtection="1">
      <alignment horizontal="left" vertical="center"/>
      <protection hidden="1"/>
    </xf>
    <xf numFmtId="176" fontId="4" fillId="0" borderId="0" xfId="1" applyNumberFormat="1" applyFont="1" applyFill="1" applyAlignment="1" applyProtection="1">
      <alignment horizontal="left" vertical="center"/>
      <protection hidden="1"/>
    </xf>
    <xf numFmtId="9" fontId="4" fillId="0" borderId="0" xfId="1" applyNumberFormat="1" applyFont="1" applyFill="1" applyAlignment="1" applyProtection="1">
      <alignment vertical="center"/>
      <protection hidden="1"/>
    </xf>
    <xf numFmtId="38" fontId="10" fillId="0" borderId="0" xfId="1" applyFont="1" applyFill="1" applyBorder="1" applyAlignment="1" applyProtection="1">
      <alignment horizontal="right" vertical="center"/>
      <protection hidden="1"/>
    </xf>
    <xf numFmtId="38" fontId="4" fillId="0" borderId="0" xfId="1" applyFont="1" applyFill="1" applyBorder="1" applyAlignment="1" applyProtection="1">
      <alignment horizontal="left" vertical="center"/>
      <protection hidden="1"/>
    </xf>
    <xf numFmtId="38" fontId="21" fillId="0" borderId="0" xfId="1" applyFont="1" applyFill="1" applyAlignment="1" applyProtection="1">
      <alignment horizontal="center" vertical="center"/>
      <protection hidden="1"/>
    </xf>
    <xf numFmtId="38" fontId="19" fillId="0" borderId="0" xfId="1" applyFont="1" applyFill="1" applyAlignment="1" applyProtection="1">
      <alignment horizontal="center" vertical="center"/>
      <protection hidden="1"/>
    </xf>
    <xf numFmtId="38" fontId="4" fillId="0" borderId="4" xfId="1" applyFont="1" applyFill="1" applyBorder="1" applyAlignment="1" applyProtection="1">
      <alignment horizontal="center" vertical="center"/>
      <protection hidden="1"/>
    </xf>
    <xf numFmtId="180" fontId="35" fillId="0" borderId="0" xfId="1" applyNumberFormat="1" applyFont="1" applyFill="1" applyAlignment="1" applyProtection="1">
      <alignment horizontal="center" vertical="center" wrapText="1"/>
      <protection hidden="1"/>
    </xf>
    <xf numFmtId="180" fontId="34" fillId="0" borderId="0" xfId="1" applyNumberFormat="1" applyFont="1" applyFill="1" applyAlignment="1" applyProtection="1">
      <alignment horizontal="center" vertical="center" wrapText="1"/>
      <protection hidden="1"/>
    </xf>
    <xf numFmtId="178" fontId="4" fillId="0" borderId="0" xfId="1" applyNumberFormat="1" applyFont="1" applyFill="1" applyAlignment="1" applyProtection="1">
      <alignment horizontal="center" vertical="center"/>
      <protection hidden="1"/>
    </xf>
    <xf numFmtId="38" fontId="4" fillId="0" borderId="0" xfId="1" applyFont="1" applyFill="1" applyAlignment="1" applyProtection="1">
      <alignment horizontal="center" vertical="center"/>
      <protection hidden="1"/>
    </xf>
    <xf numFmtId="176" fontId="4" fillId="0" borderId="0" xfId="1" applyNumberFormat="1" applyFont="1" applyFill="1" applyAlignment="1" applyProtection="1">
      <alignment horizontal="center" vertical="center"/>
      <protection hidden="1"/>
    </xf>
    <xf numFmtId="9" fontId="4" fillId="0" borderId="0" xfId="1" applyNumberFormat="1" applyFont="1" applyFill="1" applyAlignment="1" applyProtection="1">
      <alignment horizontal="center" vertical="center"/>
      <protection hidden="1"/>
    </xf>
    <xf numFmtId="38" fontId="4" fillId="0" borderId="0" xfId="1" applyFont="1" applyFill="1" applyAlignment="1" applyProtection="1">
      <alignment horizontal="right" vertical="center"/>
      <protection hidden="1"/>
    </xf>
    <xf numFmtId="9" fontId="7" fillId="0" borderId="0" xfId="1" applyNumberFormat="1" applyFont="1" applyFill="1" applyAlignment="1" applyProtection="1">
      <alignment horizontal="center" vertical="center"/>
      <protection hidden="1"/>
    </xf>
    <xf numFmtId="180" fontId="4" fillId="0" borderId="0" xfId="1" applyNumberFormat="1" applyFont="1" applyFill="1" applyBorder="1" applyAlignment="1" applyProtection="1">
      <alignment horizontal="center" vertical="center"/>
      <protection hidden="1"/>
    </xf>
    <xf numFmtId="38" fontId="4" fillId="0" borderId="0" xfId="1" applyFont="1" applyFill="1" applyAlignment="1" applyProtection="1">
      <alignment horizontal="left" vertical="center"/>
      <protection hidden="1"/>
    </xf>
    <xf numFmtId="38" fontId="3" fillId="0" borderId="0" xfId="1" applyFont="1" applyFill="1" applyBorder="1" applyAlignment="1" applyProtection="1">
      <alignment vertical="center"/>
      <protection hidden="1"/>
    </xf>
    <xf numFmtId="180" fontId="5" fillId="0" borderId="0" xfId="1" applyNumberFormat="1" applyFont="1" applyFill="1" applyAlignment="1" applyProtection="1">
      <alignment horizontal="center" vertical="center"/>
      <protection hidden="1"/>
    </xf>
    <xf numFmtId="180" fontId="5" fillId="0" borderId="0" xfId="1" applyNumberFormat="1" applyFont="1" applyFill="1" applyBorder="1" applyAlignment="1" applyProtection="1">
      <alignment horizontal="center" vertical="center"/>
      <protection hidden="1"/>
    </xf>
    <xf numFmtId="38" fontId="10" fillId="0" borderId="0" xfId="1" applyFont="1" applyFill="1" applyBorder="1" applyProtection="1">
      <alignment vertical="center"/>
      <protection hidden="1"/>
    </xf>
    <xf numFmtId="38" fontId="5" fillId="0" borderId="0" xfId="1" applyFont="1" applyFill="1" applyAlignment="1" applyProtection="1">
      <alignment horizontal="right" vertical="center"/>
      <protection locked="0" hidden="1"/>
    </xf>
    <xf numFmtId="38" fontId="14" fillId="0" borderId="0" xfId="1" applyFont="1" applyFill="1" applyProtection="1">
      <alignment vertical="center"/>
      <protection locked="0" hidden="1"/>
    </xf>
    <xf numFmtId="38" fontId="4" fillId="0" borderId="0" xfId="1" quotePrefix="1" applyFont="1" applyFill="1" applyProtection="1">
      <alignment vertical="center"/>
      <protection hidden="1"/>
    </xf>
    <xf numFmtId="38" fontId="5" fillId="0" borderId="0" xfId="1" applyFont="1" applyFill="1" applyProtection="1">
      <alignment vertical="center"/>
      <protection locked="0" hidden="1"/>
    </xf>
    <xf numFmtId="38" fontId="4" fillId="0" borderId="0" xfId="1" quotePrefix="1" applyFont="1" applyFill="1" applyProtection="1">
      <alignment vertical="center"/>
      <protection locked="0" hidden="1"/>
    </xf>
    <xf numFmtId="38" fontId="4" fillId="0" borderId="0" xfId="1" applyFont="1" applyFill="1" applyAlignment="1" applyProtection="1">
      <alignment horizontal="center" vertical="center" textRotation="255"/>
      <protection hidden="1"/>
    </xf>
    <xf numFmtId="38" fontId="4" fillId="0" borderId="0" xfId="1" applyFont="1" applyFill="1" applyBorder="1" applyAlignment="1" applyProtection="1">
      <alignment vertical="center"/>
      <protection locked="0" hidden="1"/>
    </xf>
    <xf numFmtId="38" fontId="42" fillId="0" borderId="0" xfId="1" applyFont="1" applyFill="1" applyAlignment="1" applyProtection="1">
      <alignment vertical="center"/>
      <protection locked="0" hidden="1"/>
    </xf>
    <xf numFmtId="176" fontId="4" fillId="0" borderId="0" xfId="1" applyNumberFormat="1" applyFont="1" applyFill="1" applyAlignment="1" applyProtection="1">
      <alignment horizontal="center" vertical="center"/>
      <protection locked="0" hidden="1"/>
    </xf>
    <xf numFmtId="38" fontId="9" fillId="0" borderId="0" xfId="1" applyFont="1" applyFill="1" applyBorder="1" applyAlignment="1" applyProtection="1">
      <alignment horizontal="center" vertical="center"/>
    </xf>
    <xf numFmtId="38" fontId="10" fillId="0" borderId="0" xfId="1" applyFont="1" applyFill="1" applyBorder="1" applyProtection="1">
      <alignment vertical="center"/>
    </xf>
    <xf numFmtId="38" fontId="10" fillId="0" borderId="0" xfId="1" applyFont="1" applyFill="1" applyBorder="1" applyAlignment="1" applyProtection="1">
      <alignment horizontal="right" vertical="center"/>
    </xf>
    <xf numFmtId="38" fontId="3" fillId="0" borderId="0" xfId="1" applyFont="1" applyFill="1" applyProtection="1">
      <alignment vertical="center"/>
    </xf>
    <xf numFmtId="176" fontId="4" fillId="0" borderId="0" xfId="1" applyNumberFormat="1" applyFont="1" applyFill="1" applyAlignment="1" applyProtection="1">
      <alignment horizontal="center" vertical="center"/>
    </xf>
    <xf numFmtId="9" fontId="4" fillId="0" borderId="0" xfId="1" applyNumberFormat="1" applyFont="1" applyFill="1" applyAlignment="1" applyProtection="1">
      <alignment vertical="center"/>
    </xf>
    <xf numFmtId="38" fontId="5" fillId="0" borderId="0" xfId="1" applyFont="1" applyFill="1" applyAlignment="1" applyProtection="1">
      <alignment horizontal="right" vertical="center"/>
      <protection locked="0" hidden="1"/>
    </xf>
    <xf numFmtId="38" fontId="30" fillId="0" borderId="0" xfId="1" applyFont="1" applyFill="1" applyBorder="1" applyAlignment="1" applyProtection="1">
      <alignment horizontal="center" vertical="top"/>
      <protection hidden="1"/>
    </xf>
    <xf numFmtId="176" fontId="4" fillId="0" borderId="0" xfId="1" applyNumberFormat="1" applyFont="1" applyFill="1" applyAlignment="1" applyProtection="1">
      <alignment horizontal="right" vertical="center" shrinkToFit="1"/>
      <protection hidden="1"/>
    </xf>
    <xf numFmtId="178" fontId="4" fillId="0" borderId="0" xfId="1" applyNumberFormat="1" applyFont="1" applyFill="1" applyAlignment="1" applyProtection="1">
      <alignment horizontal="center" vertical="center"/>
      <protection hidden="1"/>
    </xf>
    <xf numFmtId="38" fontId="4" fillId="0" borderId="0" xfId="1" applyFont="1" applyFill="1" applyAlignment="1" applyProtection="1">
      <alignment horizontal="center" vertical="center"/>
      <protection hidden="1"/>
    </xf>
    <xf numFmtId="38" fontId="4" fillId="0" borderId="0" xfId="1" applyFont="1" applyFill="1" applyBorder="1" applyAlignment="1" applyProtection="1">
      <alignment horizontal="right" vertical="center"/>
      <protection hidden="1"/>
    </xf>
    <xf numFmtId="183" fontId="19" fillId="0" borderId="1" xfId="1" applyNumberFormat="1" applyFont="1" applyFill="1" applyBorder="1" applyAlignment="1" applyProtection="1">
      <alignment horizontal="center" vertical="center"/>
      <protection locked="0" hidden="1"/>
    </xf>
    <xf numFmtId="183" fontId="19" fillId="0" borderId="3" xfId="1" applyNumberFormat="1" applyFont="1" applyFill="1" applyBorder="1" applyAlignment="1" applyProtection="1">
      <alignment horizontal="center" vertical="center"/>
      <protection locked="0" hidden="1"/>
    </xf>
    <xf numFmtId="38" fontId="19" fillId="0" borderId="1" xfId="1" applyFont="1" applyFill="1" applyBorder="1" applyAlignment="1" applyProtection="1">
      <alignment horizontal="center" vertical="center"/>
      <protection locked="0" hidden="1"/>
    </xf>
    <xf numFmtId="38" fontId="19" fillId="0" borderId="3" xfId="1" applyFont="1" applyFill="1" applyBorder="1" applyAlignment="1" applyProtection="1">
      <alignment horizontal="center" vertical="center"/>
      <protection locked="0" hidden="1"/>
    </xf>
    <xf numFmtId="176" fontId="4" fillId="0" borderId="0" xfId="1" applyNumberFormat="1" applyFont="1" applyFill="1" applyAlignment="1" applyProtection="1">
      <alignment horizontal="center" vertical="center"/>
      <protection hidden="1"/>
    </xf>
    <xf numFmtId="38" fontId="4" fillId="0" borderId="0" xfId="1" applyFont="1" applyFill="1" applyBorder="1" applyAlignment="1" applyProtection="1">
      <alignment horizontal="center" vertical="center"/>
      <protection hidden="1"/>
    </xf>
    <xf numFmtId="9" fontId="4" fillId="0" borderId="0" xfId="1" applyNumberFormat="1" applyFont="1" applyFill="1" applyAlignment="1" applyProtection="1">
      <alignment horizontal="center" vertical="center"/>
      <protection hidden="1"/>
    </xf>
    <xf numFmtId="180" fontId="35" fillId="0" borderId="0" xfId="1" applyNumberFormat="1" applyFont="1" applyFill="1" applyAlignment="1" applyProtection="1">
      <alignment horizontal="right" vertical="center" wrapText="1"/>
      <protection hidden="1"/>
    </xf>
    <xf numFmtId="38" fontId="20" fillId="0" borderId="0" xfId="1" applyFont="1" applyFill="1" applyAlignment="1" applyProtection="1">
      <alignment horizontal="center" vertical="center"/>
      <protection hidden="1"/>
    </xf>
    <xf numFmtId="178" fontId="7" fillId="0" borderId="0" xfId="1" applyNumberFormat="1" applyFont="1" applyFill="1" applyBorder="1" applyAlignment="1" applyProtection="1">
      <alignment horizontal="center" vertical="center"/>
      <protection hidden="1"/>
    </xf>
    <xf numFmtId="38" fontId="7" fillId="0" borderId="0" xfId="1" applyFont="1" applyFill="1" applyAlignment="1" applyProtection="1">
      <alignment horizontal="center"/>
      <protection hidden="1"/>
    </xf>
    <xf numFmtId="176" fontId="24" fillId="0" borderId="0" xfId="1" applyNumberFormat="1" applyFont="1" applyFill="1" applyAlignment="1" applyProtection="1">
      <alignment horizontal="center" vertical="center"/>
      <protection hidden="1"/>
    </xf>
    <xf numFmtId="38" fontId="4" fillId="0" borderId="0" xfId="1" applyFont="1" applyFill="1" applyAlignment="1" applyProtection="1">
      <alignment horizontal="right" vertical="center"/>
      <protection hidden="1"/>
    </xf>
    <xf numFmtId="176" fontId="4" fillId="0" borderId="0" xfId="1" applyNumberFormat="1" applyFont="1" applyFill="1" applyAlignment="1" applyProtection="1">
      <alignment horizontal="right" vertical="center"/>
      <protection hidden="1"/>
    </xf>
    <xf numFmtId="179" fontId="4" fillId="0" borderId="0" xfId="1" applyNumberFormat="1" applyFont="1" applyFill="1" applyAlignment="1" applyProtection="1">
      <alignment horizontal="center" vertical="center"/>
      <protection hidden="1"/>
    </xf>
    <xf numFmtId="9" fontId="7" fillId="0" borderId="0" xfId="1" applyNumberFormat="1" applyFont="1" applyFill="1" applyAlignment="1" applyProtection="1">
      <alignment horizontal="center" vertical="center"/>
      <protection hidden="1"/>
    </xf>
    <xf numFmtId="38" fontId="24" fillId="0" borderId="0" xfId="1" applyFont="1" applyFill="1" applyBorder="1" applyAlignment="1" applyProtection="1">
      <alignment horizontal="center" vertical="center"/>
    </xf>
    <xf numFmtId="38" fontId="23" fillId="0" borderId="0" xfId="1" applyFont="1" applyFill="1" applyAlignment="1" applyProtection="1">
      <alignment horizontal="center" vertical="center"/>
      <protection hidden="1"/>
    </xf>
    <xf numFmtId="180" fontId="4" fillId="0" borderId="0" xfId="1" applyNumberFormat="1" applyFont="1" applyFill="1" applyBorder="1" applyAlignment="1" applyProtection="1">
      <alignment horizontal="center" vertical="center"/>
      <protection hidden="1"/>
    </xf>
    <xf numFmtId="38" fontId="4" fillId="0" borderId="0" xfId="1" applyFont="1" applyFill="1" applyAlignment="1" applyProtection="1">
      <alignment horizontal="left" vertical="center"/>
      <protection hidden="1"/>
    </xf>
    <xf numFmtId="38" fontId="7" fillId="0" borderId="0" xfId="1" applyFont="1" applyFill="1" applyAlignment="1" applyProtection="1">
      <alignment horizontal="center" vertical="center"/>
      <protection hidden="1"/>
    </xf>
    <xf numFmtId="38" fontId="4" fillId="0" borderId="0" xfId="1" applyNumberFormat="1" applyFont="1" applyFill="1" applyBorder="1" applyAlignment="1" applyProtection="1">
      <alignment horizontal="center" vertical="center"/>
      <protection hidden="1"/>
    </xf>
    <xf numFmtId="38" fontId="19" fillId="0" borderId="2" xfId="1" applyFont="1" applyFill="1" applyBorder="1" applyAlignment="1" applyProtection="1">
      <alignment horizontal="center" vertical="center"/>
      <protection locked="0" hidden="1"/>
    </xf>
    <xf numFmtId="38" fontId="18" fillId="0" borderId="0" xfId="1" applyFont="1" applyFill="1" applyAlignment="1" applyProtection="1">
      <alignment horizontal="center" vertical="center"/>
      <protection hidden="1"/>
    </xf>
    <xf numFmtId="38" fontId="20" fillId="0" borderId="0" xfId="1" applyFont="1" applyFill="1" applyAlignment="1" applyProtection="1">
      <alignment horizontal="left" vertical="center"/>
      <protection hidden="1"/>
    </xf>
    <xf numFmtId="183" fontId="4" fillId="0" borderId="0" xfId="1" applyNumberFormat="1" applyFont="1" applyFill="1" applyBorder="1" applyAlignment="1" applyProtection="1">
      <alignment horizontal="center" vertical="center"/>
      <protection hidden="1"/>
    </xf>
    <xf numFmtId="180" fontId="4" fillId="0" borderId="0" xfId="1" applyNumberFormat="1" applyFont="1" applyFill="1" applyAlignment="1" applyProtection="1">
      <alignment horizontal="center" vertical="center"/>
      <protection hidden="1"/>
    </xf>
    <xf numFmtId="38" fontId="4" fillId="0" borderId="4" xfId="1" applyFont="1" applyFill="1" applyBorder="1" applyAlignment="1" applyProtection="1">
      <alignment horizontal="right" vertical="center"/>
      <protection hidden="1"/>
    </xf>
    <xf numFmtId="38" fontId="3" fillId="0" borderId="0" xfId="1" applyFont="1" applyFill="1" applyAlignment="1" applyProtection="1">
      <alignment horizontal="center" vertical="top"/>
      <protection hidden="1"/>
    </xf>
    <xf numFmtId="176" fontId="23" fillId="0" borderId="0" xfId="1" applyNumberFormat="1" applyFont="1" applyFill="1" applyAlignment="1" applyProtection="1">
      <alignment horizontal="center" vertical="center"/>
      <protection hidden="1"/>
    </xf>
    <xf numFmtId="180" fontId="23" fillId="0" borderId="0" xfId="1" applyNumberFormat="1" applyFont="1" applyFill="1" applyAlignment="1" applyProtection="1">
      <alignment horizontal="center" vertical="center"/>
      <protection hidden="1"/>
    </xf>
    <xf numFmtId="180" fontId="35" fillId="0" borderId="0" xfId="1" applyNumberFormat="1" applyFont="1" applyFill="1" applyAlignment="1" applyProtection="1">
      <alignment horizontal="left" vertical="center" wrapText="1"/>
      <protection hidden="1"/>
    </xf>
    <xf numFmtId="176" fontId="4" fillId="0" borderId="7" xfId="1" applyNumberFormat="1" applyFont="1" applyFill="1" applyBorder="1" applyAlignment="1" applyProtection="1">
      <alignment horizontal="right" vertical="center"/>
      <protection hidden="1"/>
    </xf>
    <xf numFmtId="176" fontId="4" fillId="0" borderId="4" xfId="1" applyNumberFormat="1" applyFont="1" applyFill="1" applyBorder="1" applyAlignment="1" applyProtection="1">
      <alignment horizontal="right" vertical="center"/>
      <protection hidden="1"/>
    </xf>
    <xf numFmtId="38" fontId="3" fillId="0" borderId="0" xfId="1" applyFont="1" applyFill="1" applyBorder="1" applyAlignment="1" applyProtection="1">
      <alignment vertical="center"/>
      <protection hidden="1"/>
    </xf>
    <xf numFmtId="176" fontId="4" fillId="0" borderId="0" xfId="1" applyNumberFormat="1" applyFont="1" applyFill="1" applyBorder="1" applyAlignment="1" applyProtection="1">
      <alignment horizontal="center" vertical="center"/>
      <protection hidden="1"/>
    </xf>
    <xf numFmtId="38" fontId="4" fillId="0" borderId="0" xfId="1" applyFont="1" applyFill="1" applyAlignment="1" applyProtection="1">
      <alignment horizontal="center" vertical="center"/>
    </xf>
    <xf numFmtId="176" fontId="4" fillId="0" borderId="0" xfId="1" applyNumberFormat="1" applyFont="1" applyFill="1" applyAlignment="1" applyProtection="1">
      <alignment horizontal="center" vertical="center"/>
    </xf>
    <xf numFmtId="9" fontId="4" fillId="0" borderId="0" xfId="1" applyNumberFormat="1" applyFont="1" applyFill="1" applyAlignment="1" applyProtection="1">
      <alignment horizontal="center" vertical="center"/>
    </xf>
    <xf numFmtId="180" fontId="5" fillId="0" borderId="0" xfId="1" applyNumberFormat="1" applyFont="1" applyFill="1" applyAlignment="1" applyProtection="1">
      <alignment horizontal="center" vertical="center"/>
    </xf>
    <xf numFmtId="180" fontId="5" fillId="0" borderId="0" xfId="1" applyNumberFormat="1" applyFont="1" applyFill="1" applyAlignment="1" applyProtection="1">
      <alignment horizontal="center" vertical="center"/>
      <protection hidden="1"/>
    </xf>
    <xf numFmtId="180" fontId="5" fillId="0" borderId="0" xfId="1" applyNumberFormat="1" applyFont="1" applyFill="1" applyBorder="1" applyAlignment="1" applyProtection="1">
      <alignment horizontal="center" vertical="center"/>
      <protection hidden="1"/>
    </xf>
    <xf numFmtId="176" fontId="7" fillId="0" borderId="0" xfId="1" applyNumberFormat="1" applyFont="1" applyFill="1" applyAlignment="1" applyProtection="1">
      <alignment horizontal="center" vertical="center"/>
      <protection hidden="1"/>
    </xf>
    <xf numFmtId="180" fontId="7" fillId="0" borderId="0" xfId="1" applyNumberFormat="1" applyFont="1" applyFill="1" applyAlignment="1" applyProtection="1">
      <alignment horizontal="center" vertical="center"/>
      <protection hidden="1"/>
    </xf>
    <xf numFmtId="38" fontId="3" fillId="0" borderId="0" xfId="1" applyFont="1" applyFill="1" applyAlignment="1" applyProtection="1">
      <alignment horizontal="left" vertical="top"/>
      <protection hidden="1"/>
    </xf>
    <xf numFmtId="38" fontId="7" fillId="0" borderId="0" xfId="1" applyFont="1" applyFill="1" applyAlignment="1" applyProtection="1">
      <alignment horizontal="right" vertical="center"/>
      <protection hidden="1"/>
    </xf>
    <xf numFmtId="38" fontId="4" fillId="0" borderId="0" xfId="1" applyFont="1" applyFill="1" applyAlignment="1" applyProtection="1">
      <alignment horizontal="center" vertical="center" wrapText="1"/>
      <protection hidden="1"/>
    </xf>
    <xf numFmtId="181" fontId="4" fillId="0" borderId="0" xfId="1" applyNumberFormat="1" applyFont="1" applyFill="1" applyAlignment="1" applyProtection="1">
      <alignment horizontal="center" vertical="center"/>
      <protection hidden="1"/>
    </xf>
    <xf numFmtId="38" fontId="4" fillId="0" borderId="0" xfId="1" applyFont="1" applyFill="1" applyAlignment="1" applyProtection="1">
      <alignment horizontal="center" vertical="top"/>
      <protection hidden="1"/>
    </xf>
    <xf numFmtId="38" fontId="29" fillId="0" borderId="0" xfId="1" applyFont="1" applyFill="1" applyAlignment="1" applyProtection="1">
      <alignment horizontal="right" vertical="center"/>
      <protection locked="0" hidden="1"/>
    </xf>
    <xf numFmtId="38" fontId="18" fillId="0" borderId="0" xfId="1" applyFont="1" applyFill="1" applyAlignment="1" applyProtection="1">
      <alignment horizontal="left" vertical="center"/>
      <protection hidden="1"/>
    </xf>
    <xf numFmtId="38" fontId="20" fillId="0" borderId="0" xfId="1" applyFont="1" applyFill="1" applyAlignment="1" applyProtection="1">
      <alignment horizontal="left" vertical="top"/>
      <protection hidden="1"/>
    </xf>
    <xf numFmtId="176" fontId="24" fillId="0" borderId="0" xfId="1" applyNumberFormat="1" applyFont="1" applyFill="1" applyAlignment="1" applyProtection="1">
      <alignment horizontal="right" vertical="center"/>
      <protection hidden="1"/>
    </xf>
    <xf numFmtId="176" fontId="24" fillId="0" borderId="0" xfId="1" applyNumberFormat="1" applyFont="1" applyFill="1" applyAlignment="1" applyProtection="1">
      <alignment horizontal="left" vertical="center"/>
      <protection hidden="1"/>
    </xf>
    <xf numFmtId="181" fontId="23" fillId="0" borderId="0" xfId="1" applyNumberFormat="1" applyFont="1" applyFill="1" applyAlignment="1" applyProtection="1">
      <alignment horizontal="center" vertical="center"/>
      <protection hidden="1"/>
    </xf>
    <xf numFmtId="184" fontId="4" fillId="0" borderId="0" xfId="1" applyNumberFormat="1" applyFont="1" applyFill="1" applyBorder="1" applyAlignment="1" applyProtection="1">
      <alignment horizontal="right" vertical="center"/>
      <protection hidden="1"/>
    </xf>
    <xf numFmtId="182" fontId="5" fillId="0" borderId="1" xfId="1" applyNumberFormat="1" applyFont="1" applyFill="1" applyBorder="1" applyAlignment="1" applyProtection="1">
      <alignment horizontal="center" vertical="center"/>
      <protection locked="0" hidden="1"/>
    </xf>
    <xf numFmtId="182" fontId="5" fillId="0" borderId="3" xfId="1" applyNumberFormat="1" applyFont="1" applyFill="1" applyBorder="1" applyAlignment="1" applyProtection="1">
      <alignment horizontal="center" vertical="center"/>
      <protection locked="0" hidden="1"/>
    </xf>
    <xf numFmtId="183" fontId="5" fillId="0" borderId="1" xfId="1" applyNumberFormat="1" applyFont="1" applyFill="1" applyBorder="1" applyAlignment="1" applyProtection="1">
      <alignment horizontal="center" vertical="center"/>
      <protection locked="0" hidden="1"/>
    </xf>
    <xf numFmtId="183" fontId="5" fillId="0" borderId="3" xfId="1" applyNumberFormat="1" applyFont="1" applyFill="1" applyBorder="1" applyAlignment="1" applyProtection="1">
      <alignment horizontal="center" vertical="center"/>
      <protection locked="0" hidden="1"/>
    </xf>
    <xf numFmtId="184" fontId="4" fillId="0" borderId="0" xfId="1" applyNumberFormat="1" applyFont="1" applyFill="1" applyAlignment="1" applyProtection="1">
      <alignment horizontal="right" vertical="center"/>
      <protection hidden="1"/>
    </xf>
    <xf numFmtId="188" fontId="5" fillId="0" borderId="1" xfId="1" applyNumberFormat="1" applyFont="1" applyFill="1" applyBorder="1" applyAlignment="1" applyProtection="1">
      <alignment horizontal="center" vertical="center"/>
      <protection locked="0" hidden="1"/>
    </xf>
    <xf numFmtId="188" fontId="5" fillId="0" borderId="3" xfId="1" applyNumberFormat="1" applyFont="1" applyFill="1" applyBorder="1" applyAlignment="1" applyProtection="1">
      <alignment horizontal="center" vertical="center"/>
      <protection locked="0" hidden="1"/>
    </xf>
    <xf numFmtId="38" fontId="28" fillId="0" borderId="0" xfId="1" applyFont="1" applyFill="1" applyBorder="1" applyAlignment="1" applyProtection="1">
      <alignment horizontal="center" vertical="center"/>
      <protection hidden="1"/>
    </xf>
    <xf numFmtId="185" fontId="4" fillId="0" borderId="0" xfId="1" applyNumberFormat="1" applyFont="1" applyFill="1" applyBorder="1" applyAlignment="1" applyProtection="1">
      <alignment horizontal="left" vertical="center"/>
      <protection hidden="1"/>
    </xf>
    <xf numFmtId="189" fontId="5" fillId="0" borderId="1" xfId="1" applyNumberFormat="1" applyFont="1" applyFill="1" applyBorder="1" applyAlignment="1" applyProtection="1">
      <alignment horizontal="center" vertical="center"/>
      <protection locked="0" hidden="1"/>
    </xf>
    <xf numFmtId="189" fontId="5" fillId="0" borderId="3" xfId="1" applyNumberFormat="1" applyFont="1" applyFill="1" applyBorder="1" applyAlignment="1" applyProtection="1">
      <alignment horizontal="center" vertical="center"/>
      <protection locked="0" hidden="1"/>
    </xf>
    <xf numFmtId="38" fontId="19" fillId="0" borderId="0" xfId="1" applyFont="1" applyFill="1" applyAlignment="1" applyProtection="1">
      <alignment horizontal="left" vertical="center"/>
      <protection hidden="1"/>
    </xf>
    <xf numFmtId="38" fontId="3" fillId="0" borderId="0" xfId="1" applyFont="1" applyFill="1" applyAlignment="1" applyProtection="1">
      <alignment horizontal="center" vertical="center"/>
      <protection hidden="1"/>
    </xf>
    <xf numFmtId="9" fontId="3" fillId="0" borderId="0" xfId="1" applyNumberFormat="1" applyFont="1" applyFill="1" applyAlignment="1" applyProtection="1">
      <alignment horizontal="center" vertical="center"/>
      <protection hidden="1"/>
    </xf>
    <xf numFmtId="176" fontId="6" fillId="0" borderId="0" xfId="1" applyNumberFormat="1" applyFont="1" applyFill="1" applyAlignment="1" applyProtection="1">
      <alignment horizontal="center" vertical="center"/>
      <protection hidden="1"/>
    </xf>
    <xf numFmtId="38" fontId="9" fillId="0" borderId="0" xfId="1" applyFont="1" applyFill="1" applyBorder="1" applyAlignment="1" applyProtection="1">
      <alignment horizontal="center" vertical="center"/>
    </xf>
    <xf numFmtId="176" fontId="5" fillId="0" borderId="0" xfId="1" applyNumberFormat="1" applyFont="1" applyFill="1" applyAlignment="1" applyProtection="1">
      <alignment horizontal="center" vertical="center"/>
      <protection hidden="1"/>
    </xf>
    <xf numFmtId="176" fontId="10" fillId="0" borderId="0" xfId="1" applyNumberFormat="1" applyFont="1" applyFill="1" applyAlignment="1" applyProtection="1">
      <alignment horizontal="center" vertical="center"/>
      <protection hidden="1"/>
    </xf>
    <xf numFmtId="181" fontId="3" fillId="0" borderId="0" xfId="1" applyNumberFormat="1" applyFont="1" applyFill="1" applyAlignment="1" applyProtection="1">
      <alignment horizontal="center" vertical="center"/>
      <protection locked="0" hidden="1"/>
    </xf>
    <xf numFmtId="185" fontId="4" fillId="0" borderId="0" xfId="1" applyNumberFormat="1" applyFont="1" applyFill="1" applyAlignment="1" applyProtection="1">
      <alignment horizontal="left" vertical="center"/>
      <protection hidden="1"/>
    </xf>
    <xf numFmtId="184" fontId="3" fillId="0" borderId="0" xfId="1" applyNumberFormat="1" applyFont="1" applyFill="1" applyAlignment="1" applyProtection="1">
      <alignment horizontal="right" vertical="center"/>
      <protection locked="0" hidden="1"/>
    </xf>
    <xf numFmtId="190" fontId="3" fillId="0" borderId="0" xfId="1" applyNumberFormat="1" applyFont="1" applyFill="1" applyAlignment="1" applyProtection="1">
      <alignment horizontal="center" vertical="center"/>
      <protection locked="0" hidden="1"/>
    </xf>
    <xf numFmtId="187" fontId="3" fillId="0" borderId="0" xfId="1" applyNumberFormat="1" applyFont="1" applyFill="1" applyAlignment="1" applyProtection="1">
      <alignment horizontal="left" vertical="center"/>
      <protection locked="0" hidden="1"/>
    </xf>
    <xf numFmtId="38" fontId="3" fillId="0" borderId="0" xfId="1" applyFont="1" applyFill="1" applyAlignment="1" applyProtection="1">
      <alignment horizontal="center" vertical="center"/>
      <protection locked="0" hidden="1"/>
    </xf>
    <xf numFmtId="0" fontId="3" fillId="0" borderId="0" xfId="1" applyNumberFormat="1" applyFont="1" applyFill="1" applyAlignment="1" applyProtection="1">
      <alignment horizontal="center" vertical="center"/>
      <protection locked="0" hidden="1"/>
    </xf>
    <xf numFmtId="18" fontId="3" fillId="0" borderId="0" xfId="1" applyNumberFormat="1" applyFont="1" applyFill="1" applyAlignment="1" applyProtection="1">
      <alignment horizontal="center" vertical="center"/>
      <protection locked="0" hidden="1"/>
    </xf>
    <xf numFmtId="186" fontId="3" fillId="0" borderId="0" xfId="1" applyNumberFormat="1" applyFont="1" applyFill="1" applyAlignment="1" applyProtection="1">
      <alignment horizontal="center" vertical="center"/>
      <protection locked="0" hidden="1"/>
    </xf>
    <xf numFmtId="184" fontId="5" fillId="0" borderId="0" xfId="1" applyNumberFormat="1" applyFont="1" applyFill="1" applyBorder="1" applyAlignment="1" applyProtection="1">
      <alignment horizontal="center" vertical="center"/>
      <protection hidden="1"/>
    </xf>
    <xf numFmtId="189" fontId="5" fillId="0" borderId="2" xfId="1" applyNumberFormat="1" applyFont="1" applyFill="1" applyBorder="1" applyAlignment="1" applyProtection="1">
      <alignment horizontal="center" vertical="center"/>
      <protection locked="0" hidden="1"/>
    </xf>
    <xf numFmtId="38" fontId="15" fillId="0" borderId="0" xfId="1" applyFont="1" applyFill="1" applyAlignment="1" applyProtection="1">
      <alignment horizontal="center" vertical="center"/>
      <protection hidden="1"/>
    </xf>
    <xf numFmtId="38" fontId="5" fillId="0" borderId="0" xfId="1" applyFont="1" applyFill="1" applyBorder="1" applyAlignment="1" applyProtection="1">
      <alignment horizontal="center" vertical="center"/>
      <protection hidden="1"/>
    </xf>
    <xf numFmtId="0" fontId="28" fillId="0" borderId="0" xfId="0" applyFont="1" applyFill="1" applyAlignment="1" applyProtection="1">
      <alignment horizontal="right" vertical="center"/>
      <protection hidden="1"/>
    </xf>
    <xf numFmtId="38" fontId="3" fillId="0" borderId="0" xfId="1" applyFont="1" applyFill="1" applyAlignment="1" applyProtection="1">
      <alignment horizontal="center"/>
      <protection hidden="1"/>
    </xf>
    <xf numFmtId="0" fontId="0" fillId="0" borderId="5" xfId="0" applyBorder="1" applyAlignment="1" applyProtection="1">
      <alignment horizontal="center" vertical="center"/>
      <protection hidden="1"/>
    </xf>
    <xf numFmtId="0" fontId="0" fillId="0" borderId="5" xfId="0" applyBorder="1" applyAlignment="1" applyProtection="1">
      <alignment horizontal="left" vertical="center" wrapText="1"/>
      <protection hidden="1"/>
    </xf>
    <xf numFmtId="0" fontId="0" fillId="0" borderId="5" xfId="0" applyBorder="1" applyAlignment="1" applyProtection="1">
      <alignment horizontal="center" vertical="center" wrapText="1"/>
      <protection hidden="1"/>
    </xf>
  </cellXfs>
  <cellStyles count="3">
    <cellStyle name="桁区切り" xfId="1" builtinId="6"/>
    <cellStyle name="通貨" xfId="2" builtinId="7"/>
    <cellStyle name="標準" xfId="0" builtinId="0"/>
  </cellStyles>
  <dxfs count="23">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59996337778862885"/>
        </patternFill>
      </fill>
    </dxf>
    <dxf>
      <fill>
        <patternFill patternType="solid">
          <bgColor theme="0"/>
        </patternFill>
      </fill>
    </dxf>
    <dxf>
      <fill>
        <patternFill patternType="none">
          <bgColor auto="1"/>
        </patternFill>
      </fill>
    </dxf>
    <dxf>
      <fill>
        <patternFill patternType="none">
          <bgColor auto="1"/>
        </patternFill>
      </fill>
    </dxf>
    <dxf>
      <font>
        <color theme="0"/>
      </font>
      <border>
        <left/>
        <right/>
        <top/>
        <bottom/>
        <vertical/>
        <horizontal/>
      </border>
    </dxf>
    <dxf>
      <fill>
        <patternFill patternType="none">
          <bgColor auto="1"/>
        </patternFill>
      </fill>
    </dxf>
    <dxf>
      <font>
        <color rgb="FFFF0000"/>
      </font>
    </dxf>
    <dxf>
      <font>
        <color rgb="FFFF0000"/>
      </font>
    </dxf>
    <dxf>
      <fill>
        <patternFill patternType="none">
          <bgColor auto="1"/>
        </patternFill>
      </fill>
    </dxf>
    <dxf>
      <font>
        <color theme="0"/>
      </font>
      <fill>
        <patternFill patternType="none">
          <bgColor auto="1"/>
        </patternFill>
      </fill>
      <border>
        <left/>
        <right/>
        <top/>
        <bottom/>
        <vertical/>
        <horizontal/>
      </border>
    </dxf>
    <dxf>
      <fill>
        <patternFill>
          <bgColor theme="4" tint="0.59996337778862885"/>
        </patternFill>
      </fill>
    </dxf>
    <dxf>
      <fill>
        <patternFill>
          <bgColor theme="3" tint="0.79998168889431442"/>
        </patternFill>
      </fill>
      <border>
        <left/>
        <right/>
        <top/>
        <bottom/>
        <vertical/>
        <horizontal/>
      </border>
    </dxf>
    <dxf>
      <font>
        <color theme="0"/>
      </font>
    </dxf>
    <dxf>
      <font>
        <color theme="0"/>
      </font>
      <border>
        <left/>
        <right/>
        <top/>
        <bottom/>
        <vertical/>
        <horizontal/>
      </border>
    </dxf>
    <dxf>
      <fill>
        <patternFill patternType="none">
          <bgColor auto="1"/>
        </patternFill>
      </fill>
    </dxf>
    <dxf>
      <font>
        <color theme="0"/>
      </font>
    </dxf>
    <dxf>
      <font>
        <color theme="0"/>
      </font>
      <fill>
        <patternFill>
          <bgColor theme="0"/>
        </patternFill>
      </fill>
      <border>
        <left/>
        <right/>
        <top/>
        <bottom/>
      </border>
    </dxf>
  </dxfs>
  <tableStyles count="0" defaultTableStyle="TableStyleMedium9" defaultPivotStyle="PivotStyleLight16"/>
  <colors>
    <mruColors>
      <color rgb="FF00FF00"/>
      <color rgb="FFCCFFFF"/>
      <color rgb="FF99FF99"/>
      <color rgb="FFCCFF99"/>
      <color rgb="FFFFCCCC"/>
      <color rgb="FFFF99FF"/>
      <color rgb="FF33CCFF"/>
      <color rgb="FF00CC99"/>
      <color rgb="FFCC3399"/>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checked="Checked" firstButton="1" fmlaLink="$AW$36" lockText="1"/>
</file>

<file path=xl/ctrlProps/ctrlProp10.xml><?xml version="1.0" encoding="utf-8"?>
<formControlPr xmlns="http://schemas.microsoft.com/office/spreadsheetml/2009/9/main" objectType="CheckBox" fmlaLink="$G$74" lockText="1" noThreeD="1"/>
</file>

<file path=xl/ctrlProps/ctrlProp11.xml><?xml version="1.0" encoding="utf-8"?>
<formControlPr xmlns="http://schemas.microsoft.com/office/spreadsheetml/2009/9/main" objectType="CheckBox" checked="Checked" fmlaLink="$AW$87" lockText="1"/>
</file>

<file path=xl/ctrlProps/ctrlProp12.xml><?xml version="1.0" encoding="utf-8"?>
<formControlPr xmlns="http://schemas.microsoft.com/office/spreadsheetml/2009/9/main" objectType="CheckBox" checked="Checked" fmlaLink="$AW$71" lockText="1"/>
</file>

<file path=xl/ctrlProps/ctrlProp13.xml><?xml version="1.0" encoding="utf-8"?>
<formControlPr xmlns="http://schemas.microsoft.com/office/spreadsheetml/2009/9/main" objectType="Drop" dropLines="10" dropStyle="combo" dx="16" fmlaLink="$AW$5" fmlaRange="$AX$13:$AX$22" sel="3" val="0"/>
</file>

<file path=xl/ctrlProps/ctrlProp14.xml><?xml version="1.0" encoding="utf-8"?>
<formControlPr xmlns="http://schemas.microsoft.com/office/spreadsheetml/2009/9/main" objectType="Radio" checked="Checked" firstButton="1" fmlaLink="$BC$27" lockText="1"/>
</file>

<file path=xl/ctrlProps/ctrlProp15.xml><?xml version="1.0" encoding="utf-8"?>
<formControlPr xmlns="http://schemas.microsoft.com/office/spreadsheetml/2009/9/main" objectType="Radio" lockText="1"/>
</file>

<file path=xl/ctrlProps/ctrlProp16.xml><?xml version="1.0" encoding="utf-8"?>
<formControlPr xmlns="http://schemas.microsoft.com/office/spreadsheetml/2009/9/main" objectType="Radio" lockText="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file>

<file path=xl/ctrlProps/ctrlProp20.xml><?xml version="1.0" encoding="utf-8"?>
<formControlPr xmlns="http://schemas.microsoft.com/office/spreadsheetml/2009/9/main" objectType="CheckBox" checked="Checked" fmlaLink="$BA$53" lockText="1"/>
</file>

<file path=xl/ctrlProps/ctrlProp21.xml><?xml version="1.0" encoding="utf-8"?>
<formControlPr xmlns="http://schemas.microsoft.com/office/spreadsheetml/2009/9/main" objectType="CheckBox" checked="Checked" fmlaLink="$BA$61" lockText="1"/>
</file>

<file path=xl/ctrlProps/ctrlProp22.xml><?xml version="1.0" encoding="utf-8"?>
<formControlPr xmlns="http://schemas.microsoft.com/office/spreadsheetml/2009/9/main" objectType="Drop" dropLines="10" dropStyle="combo" dx="16" fmlaLink="$BC$5" fmlaRange="$BS$24:$BS$33" sel="1" val="0"/>
</file>

<file path=xl/ctrlProps/ctrlProp23.xml><?xml version="1.0" encoding="utf-8"?>
<formControlPr xmlns="http://schemas.microsoft.com/office/spreadsheetml/2009/9/main" objectType="Radio" firstButton="1" fmlaLink="$BC$10" lockText="1" noThreeD="1"/>
</file>

<file path=xl/ctrlProps/ctrlProp24.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checked="Checked" firstButton="1" fmlaLink="$AW$9"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xdr:from>
      <xdr:col>0</xdr:col>
      <xdr:colOff>0</xdr:colOff>
      <xdr:row>0</xdr:row>
      <xdr:rowOff>28574</xdr:rowOff>
    </xdr:from>
    <xdr:to>
      <xdr:col>11</xdr:col>
      <xdr:colOff>638174</xdr:colOff>
      <xdr:row>62</xdr:row>
      <xdr:rowOff>85725</xdr:rowOff>
    </xdr:to>
    <xdr:sp macro="" textlink="">
      <xdr:nvSpPr>
        <xdr:cNvPr id="2" name="テキスト ボックス 1"/>
        <xdr:cNvSpPr txBox="1"/>
      </xdr:nvSpPr>
      <xdr:spPr>
        <a:xfrm>
          <a:off x="0" y="28574"/>
          <a:ext cx="8181974" cy="10687051"/>
        </a:xfrm>
        <a:prstGeom prst="rect">
          <a:avLst/>
        </a:prstGeom>
        <a:noFill/>
        <a:ln w="25400" cmpd="thickThi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b="1"/>
            <a:t>運賃・料金簡易計算シミュレーター使用上の注意点</a:t>
          </a:r>
          <a:endParaRPr kumimoji="1" lang="en-US" altLang="ja-JP" sz="1200" b="1"/>
        </a:p>
        <a:p>
          <a:pPr algn="ctr"/>
          <a:endParaRPr kumimoji="1" lang="en-US" altLang="ja-JP" sz="1200" b="1"/>
        </a:p>
        <a:p>
          <a:r>
            <a:rPr lang="ja-JP" altLang="en-US" sz="1100" b="1" i="0" u="none" strike="noStrike" baseline="0" smtClean="0">
              <a:solidFill>
                <a:schemeClr val="dk1"/>
              </a:solidFill>
              <a:latin typeface="+mn-lt"/>
              <a:ea typeface="+mn-ea"/>
              <a:cs typeface="+mn-cs"/>
            </a:rPr>
            <a:t>このシミュレーターは、平成２８年４月１日現在各運輸局において公示（平成２６年４月公示）されている貸切バスの運賃・料金の上限及び下限額に基づき、実際の運送に適用される運賃・料金の範囲を簡易的に計算することができます。</a:t>
          </a:r>
        </a:p>
        <a:p>
          <a:endParaRPr lang="ja-JP" altLang="en-US" sz="1050" smtClean="0">
            <a:solidFill>
              <a:schemeClr val="dk1"/>
            </a:solidFill>
            <a:latin typeface="+mn-lt"/>
            <a:ea typeface="+mn-ea"/>
            <a:cs typeface="+mn-cs"/>
          </a:endParaRPr>
        </a:p>
        <a:p>
          <a:r>
            <a:rPr lang="ja-JP" altLang="en-US" sz="1200" b="1" i="0" u="none" strike="noStrike" baseline="0" smtClean="0">
              <a:solidFill>
                <a:schemeClr val="dk1"/>
              </a:solidFill>
              <a:latin typeface="+mn-lt"/>
              <a:ea typeface="+mn-ea"/>
              <a:cs typeface="+mn-cs"/>
            </a:rPr>
            <a:t>◎使用方法</a:t>
          </a:r>
        </a:p>
        <a:p>
          <a:r>
            <a:rPr lang="en-US" altLang="ja-JP" sz="1100" b="1" i="0" u="none" strike="noStrike" baseline="0" smtClean="0">
              <a:solidFill>
                <a:schemeClr val="dk1"/>
              </a:solidFill>
              <a:latin typeface="+mn-lt"/>
              <a:ea typeface="+mn-ea"/>
              <a:cs typeface="+mn-cs"/>
            </a:rPr>
            <a:t>【</a:t>
          </a:r>
          <a:r>
            <a:rPr lang="ja-JP" altLang="en-US" sz="1100" b="1" i="0" u="none" strike="noStrike" baseline="0" smtClean="0">
              <a:solidFill>
                <a:schemeClr val="dk1"/>
              </a:solidFill>
              <a:latin typeface="+mn-lt"/>
              <a:ea typeface="+mn-ea"/>
              <a:cs typeface="+mn-cs"/>
            </a:rPr>
            <a:t>各シート共通</a:t>
          </a:r>
          <a:r>
            <a:rPr lang="en-US" altLang="ja-JP" sz="1100" b="1" i="0" u="none" strike="noStrike" baseline="0" smtClean="0">
              <a:solidFill>
                <a:schemeClr val="dk1"/>
              </a:solidFill>
              <a:latin typeface="+mn-lt"/>
              <a:ea typeface="+mn-ea"/>
              <a:cs typeface="+mn-cs"/>
            </a:rPr>
            <a:t>】</a:t>
          </a:r>
        </a:p>
        <a:p>
          <a:r>
            <a:rPr lang="ja-JP" altLang="en-US" sz="1100" b="1" i="0" u="none" strike="noStrike" baseline="0" smtClean="0">
              <a:solidFill>
                <a:srgbClr val="FF0000"/>
              </a:solidFill>
              <a:latin typeface="+mn-lt"/>
              <a:ea typeface="+mn-ea"/>
              <a:cs typeface="+mn-cs"/>
            </a:rPr>
            <a:t>・貸切バス事業者の営業区域を管轄する運輸局等を選択してください。</a:t>
          </a:r>
        </a:p>
        <a:p>
          <a:r>
            <a:rPr lang="ja-JP" altLang="en-US" sz="1100" b="1" i="0" u="none" strike="noStrike" baseline="0" smtClean="0">
              <a:solidFill>
                <a:srgbClr val="FF0000"/>
              </a:solidFill>
              <a:latin typeface="+mn-lt"/>
              <a:ea typeface="+mn-ea"/>
              <a:cs typeface="+mn-cs"/>
            </a:rPr>
            <a:t>・車種区分を選択してください。</a:t>
          </a:r>
        </a:p>
        <a:p>
          <a:r>
            <a:rPr lang="en-US" altLang="ja-JP" sz="1100" b="1" i="0" u="none" strike="noStrike" baseline="0" smtClean="0">
              <a:solidFill>
                <a:srgbClr val="FF0000"/>
              </a:solidFill>
              <a:latin typeface="+mn-lt"/>
              <a:ea typeface="+mn-ea"/>
              <a:cs typeface="+mn-cs"/>
            </a:rPr>
            <a:t>【</a:t>
          </a:r>
          <a:r>
            <a:rPr lang="ja-JP" altLang="en-US" sz="1100" b="1" i="0" u="none" strike="noStrike" baseline="0" smtClean="0">
              <a:solidFill>
                <a:srgbClr val="FF0000"/>
              </a:solidFill>
              <a:latin typeface="+mn-lt"/>
              <a:ea typeface="+mn-ea"/>
              <a:cs typeface="+mn-cs"/>
            </a:rPr>
            <a:t>時間入力シート（総走行時間がわかる場合）</a:t>
          </a:r>
          <a:r>
            <a:rPr lang="en-US" altLang="ja-JP" sz="1100" b="1" i="0" u="none" strike="noStrike" baseline="0" smtClean="0">
              <a:solidFill>
                <a:srgbClr val="FF0000"/>
              </a:solidFill>
              <a:latin typeface="+mn-lt"/>
              <a:ea typeface="+mn-ea"/>
              <a:cs typeface="+mn-cs"/>
            </a:rPr>
            <a:t>】</a:t>
          </a:r>
        </a:p>
        <a:p>
          <a:r>
            <a:rPr lang="ja-JP" altLang="en-US" sz="1100" b="1" i="0" u="none" strike="noStrike" baseline="0" smtClean="0">
              <a:solidFill>
                <a:srgbClr val="FF0000"/>
              </a:solidFill>
              <a:latin typeface="+mn-lt"/>
              <a:ea typeface="+mn-ea"/>
              <a:cs typeface="+mn-cs"/>
            </a:rPr>
            <a:t>・総走行時間及び走行距離、その他割引き・割増し料金等を入力してください。</a:t>
          </a:r>
        </a:p>
        <a:p>
          <a:r>
            <a:rPr lang="en-US" altLang="ja-JP" sz="1100" b="1" i="0" u="none" strike="noStrike" baseline="0" smtClean="0">
              <a:solidFill>
                <a:srgbClr val="FF0000"/>
              </a:solidFill>
              <a:latin typeface="+mn-lt"/>
              <a:ea typeface="+mn-ea"/>
              <a:cs typeface="+mn-cs"/>
            </a:rPr>
            <a:t>【</a:t>
          </a:r>
          <a:r>
            <a:rPr lang="ja-JP" altLang="en-US" sz="1100" b="1" i="0" u="none" strike="noStrike" baseline="0" smtClean="0">
              <a:solidFill>
                <a:srgbClr val="FF0000"/>
              </a:solidFill>
              <a:latin typeface="+mn-lt"/>
              <a:ea typeface="+mn-ea"/>
              <a:cs typeface="+mn-cs"/>
            </a:rPr>
            <a:t>時刻入力シート（出庫時間及び帰庫時間がわかる場合）</a:t>
          </a:r>
          <a:r>
            <a:rPr lang="en-US" altLang="ja-JP" sz="1100" b="1" i="0" u="none" strike="noStrike" baseline="0" smtClean="0">
              <a:solidFill>
                <a:srgbClr val="FF0000"/>
              </a:solidFill>
              <a:latin typeface="+mn-lt"/>
              <a:ea typeface="+mn-ea"/>
              <a:cs typeface="+mn-cs"/>
            </a:rPr>
            <a:t>】</a:t>
          </a:r>
        </a:p>
        <a:p>
          <a:r>
            <a:rPr lang="ja-JP" altLang="en-US" sz="1100" b="1" i="0" u="none" strike="noStrike" baseline="0" smtClean="0">
              <a:solidFill>
                <a:srgbClr val="FF0000"/>
              </a:solidFill>
              <a:latin typeface="+mn-lt"/>
              <a:ea typeface="+mn-ea"/>
              <a:cs typeface="+mn-cs"/>
            </a:rPr>
            <a:t>・出庫時間及び帰庫時間並びに走行距離、その他割引き・割増し料金等を入力してください。</a:t>
          </a:r>
          <a:endParaRPr lang="en-US" altLang="ja-JP" sz="1100" b="1" i="0" u="none" strike="noStrike" baseline="0" smtClean="0">
            <a:solidFill>
              <a:srgbClr val="FF0000"/>
            </a:solidFill>
            <a:latin typeface="+mn-lt"/>
            <a:ea typeface="+mn-ea"/>
            <a:cs typeface="+mn-cs"/>
          </a:endParaRPr>
        </a:p>
        <a:p>
          <a:endParaRPr kumimoji="1" lang="en-US" altLang="ja-JP" sz="1100" b="1"/>
        </a:p>
        <a:p>
          <a:r>
            <a:rPr kumimoji="1" lang="en-US" altLang="ja-JP" sz="1100"/>
            <a:t>※</a:t>
          </a:r>
          <a:r>
            <a:rPr kumimoji="1" lang="ja-JP" altLang="en-US" sz="1100"/>
            <a:t>拘束時間が１日当たり２０時間を超えるものは想定しておりません。</a:t>
          </a:r>
          <a:endParaRPr kumimoji="1" lang="en-US" altLang="ja-JP" sz="1100"/>
        </a:p>
        <a:p>
          <a:r>
            <a:rPr kumimoji="1" lang="en-US" altLang="ja-JP" sz="1100"/>
            <a:t>※</a:t>
          </a:r>
          <a:r>
            <a:rPr kumimoji="1" lang="ja-JP" altLang="en-US" sz="1100"/>
            <a:t>いわゆる中抜け、年間契約等には対応しておりません。</a:t>
          </a:r>
        </a:p>
        <a:p>
          <a:r>
            <a:rPr kumimoji="1" lang="en-US" altLang="ja-JP" sz="1100"/>
            <a:t>※</a:t>
          </a:r>
          <a:r>
            <a:rPr kumimoji="1" lang="ja-JP" altLang="en-US" sz="1100"/>
            <a:t>バスガイド料、有料道路利用料、フェリー料、駐車料、乗務員宿泊料その他旅客の求めによる運送以外の経費は実費負担となります。</a:t>
          </a:r>
        </a:p>
        <a:p>
          <a:endParaRPr kumimoji="1" lang="en-US" altLang="ja-JP" sz="1100"/>
        </a:p>
        <a:p>
          <a:r>
            <a:rPr kumimoji="1" lang="ja-JP" altLang="en-US" sz="1100" b="1"/>
            <a:t>＜車種区分＞</a:t>
          </a:r>
          <a:endParaRPr kumimoji="1" lang="en-US" altLang="ja-JP" sz="1100" b="1"/>
        </a:p>
        <a:p>
          <a:r>
            <a:rPr kumimoji="1" lang="ja-JP" altLang="en-US" sz="1100"/>
            <a:t>・大型車：９ｍ以上又は旅客座席数５０人以上　</a:t>
          </a:r>
          <a:endParaRPr kumimoji="1" lang="en-US" altLang="ja-JP" sz="1100"/>
        </a:p>
        <a:p>
          <a:r>
            <a:rPr kumimoji="1" lang="ja-JP" altLang="en-US" sz="1100"/>
            <a:t>・中型車：大型車、小型車以外　　</a:t>
          </a:r>
          <a:endParaRPr kumimoji="1" lang="en-US" altLang="ja-JP" sz="1100"/>
        </a:p>
        <a:p>
          <a:r>
            <a:rPr kumimoji="1" lang="ja-JP" altLang="en-US" sz="1100"/>
            <a:t>・小型車：７ｍ以下で旅客座席数２９人以下</a:t>
          </a:r>
          <a:endParaRPr kumimoji="1" lang="en-US" altLang="ja-JP" sz="1100"/>
        </a:p>
        <a:p>
          <a:endParaRPr kumimoji="1" lang="en-US" altLang="ja-JP" sz="1100"/>
        </a:p>
        <a:p>
          <a:r>
            <a:rPr kumimoji="1" lang="ja-JP" altLang="en-US" sz="1100"/>
            <a:t>・走行時間とは、出庫から帰庫までの時間で回送時間も含みます。</a:t>
          </a:r>
          <a:endParaRPr kumimoji="1" lang="en-US" altLang="ja-JP" sz="1100"/>
        </a:p>
        <a:p>
          <a:r>
            <a:rPr kumimoji="1" lang="ja-JP" altLang="en-US" sz="1100"/>
            <a:t>・走行距離とは、出庫から帰庫までの距離で回送距離も含みます。 </a:t>
          </a:r>
        </a:p>
        <a:p>
          <a:r>
            <a:rPr kumimoji="1" lang="ja-JP" altLang="en-US" sz="1100"/>
            <a:t>・宿泊を伴う場合の出庫時間、帰庫時間とは宿泊場所出発時間あるいは宿泊場所到着時間です。</a:t>
          </a:r>
        </a:p>
        <a:p>
          <a:r>
            <a:rPr kumimoji="1" lang="ja-JP" altLang="en-US" sz="1100"/>
            <a:t>・走行時間が３時間未満の場合は３時間となります。 </a:t>
          </a:r>
        </a:p>
        <a:p>
          <a:r>
            <a:rPr kumimoji="1" lang="ja-JP" altLang="en-US" sz="1100"/>
            <a:t>・１日ごとに出庫前</a:t>
          </a:r>
          <a:r>
            <a:rPr kumimoji="1" lang="en-US" altLang="ja-JP" sz="1100"/>
            <a:t>1</a:t>
          </a:r>
          <a:r>
            <a:rPr kumimoji="1" lang="ja-JP" altLang="en-US" sz="1100"/>
            <a:t>時間と帰庫後</a:t>
          </a:r>
          <a:r>
            <a:rPr kumimoji="1" lang="en-US" altLang="ja-JP" sz="1100"/>
            <a:t>1</a:t>
          </a:r>
          <a:r>
            <a:rPr kumimoji="1" lang="ja-JP" altLang="en-US" sz="1100"/>
            <a:t>時間の点呼点検時間計２時間が加算されます。 </a:t>
          </a:r>
          <a:endParaRPr kumimoji="1" lang="en-US" altLang="ja-JP" sz="1100"/>
        </a:p>
        <a:p>
          <a:r>
            <a:rPr kumimoji="1" lang="ja-JP" altLang="en-US" sz="1100"/>
            <a:t>・フェリーボートを利用した場合の航送時間（乗船してから下船するまでの時間）は８時間が上限です。</a:t>
          </a:r>
        </a:p>
        <a:p>
          <a:r>
            <a:rPr kumimoji="1" lang="ja-JP" altLang="en-US" sz="1100"/>
            <a:t>・深夜早朝とは２２時～５時の間の運行時間・点呼点検時間です。</a:t>
          </a:r>
        </a:p>
        <a:p>
          <a:endParaRPr kumimoji="1" lang="en-US" altLang="ja-JP" sz="1100"/>
        </a:p>
        <a:p>
          <a:r>
            <a:rPr kumimoji="1" lang="ja-JP" altLang="en-US" sz="1100" b="1"/>
            <a:t>＜運賃の割引＞</a:t>
          </a:r>
          <a:endParaRPr kumimoji="1" lang="en-US" altLang="ja-JP" sz="1100" b="1"/>
        </a:p>
        <a:p>
          <a:r>
            <a:rPr kumimoji="1" lang="ja-JP" altLang="en-US" sz="1100"/>
            <a:t>・身体障害者福祉法、知的障害者福祉法及び児童福祉法の適用を受ける者の団体・・・３割引 </a:t>
          </a:r>
        </a:p>
        <a:p>
          <a:r>
            <a:rPr kumimoji="1" lang="ja-JP" altLang="en-US" sz="1100"/>
            <a:t>・学校教育法による学校（大学及び高等専門学校を除く）に通学又は通園する者の団体・・・２割引 </a:t>
          </a:r>
        </a:p>
        <a:p>
          <a:r>
            <a:rPr kumimoji="1" lang="ja-JP" altLang="en-US" sz="1100"/>
            <a:t>・２以上の割引条件に該当する場合はいずれか高い率を適用し、重複して割引をしません。 </a:t>
          </a:r>
        </a:p>
        <a:p>
          <a:r>
            <a:rPr kumimoji="1" lang="ja-JP" altLang="en-US" sz="1100"/>
            <a:t>・割引後の運賃は、下限額が限度です。</a:t>
          </a:r>
        </a:p>
        <a:p>
          <a:endParaRPr kumimoji="1" lang="en-US" altLang="ja-JP" sz="1100"/>
        </a:p>
        <a:p>
          <a:r>
            <a:rPr kumimoji="1" lang="ja-JP" altLang="en-US" sz="1100" b="1"/>
            <a:t>＜深夜早朝料金＞</a:t>
          </a:r>
          <a:endParaRPr kumimoji="1" lang="en-US" altLang="ja-JP" sz="1100" b="1"/>
        </a:p>
        <a:p>
          <a:r>
            <a:rPr kumimoji="1" lang="ja-JP" altLang="en-US" sz="1100"/>
            <a:t>・２２時以降翌朝５時までの間に点呼点検時間及び走行時間が含まれた場合に、１時間あたりの運賃及び交替運転者配置料金の</a:t>
          </a:r>
          <a:r>
            <a:rPr kumimoji="1" lang="en-US" altLang="ja-JP" sz="1100"/>
            <a:t>2</a:t>
          </a:r>
          <a:r>
            <a:rPr kumimoji="1" lang="ja-JP" altLang="en-US" sz="1100"/>
            <a:t>割以内の割増が適用されます。</a:t>
          </a:r>
          <a:endParaRPr kumimoji="1" lang="en-US" altLang="ja-JP" sz="1100"/>
        </a:p>
        <a:p>
          <a:endParaRPr kumimoji="1" lang="en-US" altLang="ja-JP" sz="1100"/>
        </a:p>
        <a:p>
          <a:r>
            <a:rPr kumimoji="1" lang="ja-JP" altLang="en-US" sz="1100" b="1"/>
            <a:t>＜特殊車両料金＞</a:t>
          </a:r>
          <a:endParaRPr kumimoji="1" lang="en-US" altLang="ja-JP" sz="1100" b="1"/>
        </a:p>
        <a:p>
          <a:r>
            <a:rPr kumimoji="1" lang="ja-JP" altLang="en-US" sz="1100"/>
            <a:t>・次の条件を有する車両については、運賃の</a:t>
          </a:r>
          <a:r>
            <a:rPr kumimoji="1" lang="en-US" altLang="ja-JP" sz="1100"/>
            <a:t>5</a:t>
          </a:r>
          <a:r>
            <a:rPr kumimoji="1" lang="ja-JP" altLang="en-US" sz="1100"/>
            <a:t>割以内の割増を適用することができます。</a:t>
          </a:r>
          <a:endParaRPr kumimoji="1" lang="en-US" altLang="ja-JP" sz="1100"/>
        </a:p>
        <a:p>
          <a:r>
            <a:rPr kumimoji="1" lang="ja-JP" altLang="en-US" sz="1100"/>
            <a:t>①標準的な装備を超える特殊な設備を有する車両</a:t>
          </a:r>
          <a:endParaRPr kumimoji="1" lang="en-US" altLang="ja-JP" sz="1100"/>
        </a:p>
        <a:p>
          <a:r>
            <a:rPr kumimoji="1" lang="ja-JP" altLang="en-US" sz="1100"/>
            <a:t>②車両購入価格を座席定員で除した単価が標準的な車両の単価より７０％以上高額である車両</a:t>
          </a:r>
          <a:endParaRPr kumimoji="1" lang="en-US" altLang="ja-JP" sz="1100"/>
        </a:p>
        <a:p>
          <a:endParaRPr kumimoji="1" lang="en-US" altLang="ja-JP" sz="1100" b="1"/>
        </a:p>
        <a:p>
          <a:r>
            <a:rPr kumimoji="1" lang="ja-JP" altLang="en-US" sz="1100" b="1"/>
            <a:t>＜交代運転者配置料金＞</a:t>
          </a:r>
          <a:endParaRPr kumimoji="1" lang="en-US" altLang="ja-JP" sz="1100" b="1"/>
        </a:p>
        <a:p>
          <a:r>
            <a:rPr kumimoji="1" lang="ja-JP" altLang="en-US" sz="1100"/>
            <a:t>・法令により運転者の交替が義務つけられる場合、交替運転者の配置について事業者と申込者が合意した場合に適用されます。</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消費税の扱い</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公示運賃・料金は消費税を含んでません。各運賃・料金の計算において消費税を別途加算します。</a:t>
          </a:r>
          <a:endParaRPr lang="ja-JP" altLang="ja-JP" sz="1100">
            <a:effectLst/>
          </a:endParaRP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114300</xdr:colOff>
      <xdr:row>4</xdr:row>
      <xdr:rowOff>133351</xdr:rowOff>
    </xdr:from>
    <xdr:to>
      <xdr:col>19</xdr:col>
      <xdr:colOff>185738</xdr:colOff>
      <xdr:row>6</xdr:row>
      <xdr:rowOff>9526</xdr:rowOff>
    </xdr:to>
    <xdr:sp macro="" textlink="">
      <xdr:nvSpPr>
        <xdr:cNvPr id="11" name="角丸四角形 10"/>
        <xdr:cNvSpPr/>
      </xdr:nvSpPr>
      <xdr:spPr>
        <a:xfrm>
          <a:off x="723900" y="457201"/>
          <a:ext cx="4395788" cy="342900"/>
        </a:xfrm>
        <a:prstGeom prst="roundRect">
          <a:avLst/>
        </a:prstGeom>
        <a:noFill/>
        <a:ln>
          <a:solidFill>
            <a:schemeClr val="tx1">
              <a:alpha val="31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xdr:col>
      <xdr:colOff>176212</xdr:colOff>
      <xdr:row>4</xdr:row>
      <xdr:rowOff>131762</xdr:rowOff>
    </xdr:from>
    <xdr:to>
      <xdr:col>9</xdr:col>
      <xdr:colOff>100012</xdr:colOff>
      <xdr:row>6</xdr:row>
      <xdr:rowOff>14287</xdr:rowOff>
    </xdr:to>
    <xdr:sp macro="" textlink="">
      <xdr:nvSpPr>
        <xdr:cNvPr id="5" name="テキスト ボックス 4"/>
        <xdr:cNvSpPr txBox="1"/>
      </xdr:nvSpPr>
      <xdr:spPr>
        <a:xfrm>
          <a:off x="1903412" y="461962"/>
          <a:ext cx="68580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b="1"/>
            <a:t>大型</a:t>
          </a:r>
        </a:p>
      </xdr:txBody>
    </xdr:sp>
    <xdr:clientData/>
  </xdr:twoCellAnchor>
  <xdr:twoCellAnchor>
    <xdr:from>
      <xdr:col>10</xdr:col>
      <xdr:colOff>201612</xdr:colOff>
      <xdr:row>4</xdr:row>
      <xdr:rowOff>127000</xdr:rowOff>
    </xdr:from>
    <xdr:to>
      <xdr:col>13</xdr:col>
      <xdr:colOff>52387</xdr:colOff>
      <xdr:row>6</xdr:row>
      <xdr:rowOff>9525</xdr:rowOff>
    </xdr:to>
    <xdr:sp macro="" textlink="">
      <xdr:nvSpPr>
        <xdr:cNvPr id="6" name="テキスト ボックス 5"/>
        <xdr:cNvSpPr txBox="1"/>
      </xdr:nvSpPr>
      <xdr:spPr>
        <a:xfrm>
          <a:off x="2970212" y="457200"/>
          <a:ext cx="6889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b="1"/>
            <a:t>中型</a:t>
          </a:r>
        </a:p>
      </xdr:txBody>
    </xdr:sp>
    <xdr:clientData/>
  </xdr:twoCellAnchor>
  <xdr:twoCellAnchor>
    <xdr:from>
      <xdr:col>14</xdr:col>
      <xdr:colOff>155575</xdr:colOff>
      <xdr:row>4</xdr:row>
      <xdr:rowOff>127000</xdr:rowOff>
    </xdr:from>
    <xdr:to>
      <xdr:col>17</xdr:col>
      <xdr:colOff>161925</xdr:colOff>
      <xdr:row>6</xdr:row>
      <xdr:rowOff>9525</xdr:rowOff>
    </xdr:to>
    <xdr:sp macro="" textlink="">
      <xdr:nvSpPr>
        <xdr:cNvPr id="7" name="テキスト ボックス 6"/>
        <xdr:cNvSpPr txBox="1"/>
      </xdr:nvSpPr>
      <xdr:spPr>
        <a:xfrm>
          <a:off x="4041775" y="457200"/>
          <a:ext cx="69215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b="1"/>
            <a:t>小型</a:t>
          </a:r>
        </a:p>
      </xdr:txBody>
    </xdr:sp>
    <xdr:clientData/>
  </xdr:twoCellAnchor>
  <xdr:twoCellAnchor>
    <xdr:from>
      <xdr:col>9</xdr:col>
      <xdr:colOff>87313</xdr:colOff>
      <xdr:row>25</xdr:row>
      <xdr:rowOff>100012</xdr:rowOff>
    </xdr:from>
    <xdr:to>
      <xdr:col>12</xdr:col>
      <xdr:colOff>228601</xdr:colOff>
      <xdr:row>27</xdr:row>
      <xdr:rowOff>166687</xdr:rowOff>
    </xdr:to>
    <xdr:sp macro="" textlink="">
      <xdr:nvSpPr>
        <xdr:cNvPr id="8" name="テキスト ボックス 7"/>
        <xdr:cNvSpPr txBox="1"/>
      </xdr:nvSpPr>
      <xdr:spPr>
        <a:xfrm>
          <a:off x="2554288" y="4281487"/>
          <a:ext cx="96996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b="1"/>
            <a:t>割引なし</a:t>
          </a:r>
        </a:p>
      </xdr:txBody>
    </xdr:sp>
    <xdr:clientData/>
  </xdr:twoCellAnchor>
  <xdr:twoCellAnchor>
    <xdr:from>
      <xdr:col>12</xdr:col>
      <xdr:colOff>182561</xdr:colOff>
      <xdr:row>25</xdr:row>
      <xdr:rowOff>95250</xdr:rowOff>
    </xdr:from>
    <xdr:to>
      <xdr:col>18</xdr:col>
      <xdr:colOff>90487</xdr:colOff>
      <xdr:row>27</xdr:row>
      <xdr:rowOff>161925</xdr:rowOff>
    </xdr:to>
    <xdr:sp macro="" textlink="">
      <xdr:nvSpPr>
        <xdr:cNvPr id="9" name="テキスト ボックス 8"/>
        <xdr:cNvSpPr txBox="1"/>
      </xdr:nvSpPr>
      <xdr:spPr>
        <a:xfrm>
          <a:off x="3478211" y="4276725"/>
          <a:ext cx="1355726"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b="1"/>
            <a:t>身障者等３０％</a:t>
          </a:r>
        </a:p>
      </xdr:txBody>
    </xdr:sp>
    <xdr:clientData/>
  </xdr:twoCellAnchor>
  <xdr:twoCellAnchor>
    <xdr:from>
      <xdr:col>19</xdr:col>
      <xdr:colOff>6348</xdr:colOff>
      <xdr:row>25</xdr:row>
      <xdr:rowOff>95250</xdr:rowOff>
    </xdr:from>
    <xdr:to>
      <xdr:col>25</xdr:col>
      <xdr:colOff>215900</xdr:colOff>
      <xdr:row>28</xdr:row>
      <xdr:rowOff>127000</xdr:rowOff>
    </xdr:to>
    <xdr:sp macro="" textlink="">
      <xdr:nvSpPr>
        <xdr:cNvPr id="10" name="テキスト ボックス 9"/>
        <xdr:cNvSpPr txBox="1"/>
      </xdr:nvSpPr>
      <xdr:spPr>
        <a:xfrm>
          <a:off x="4984748" y="4451350"/>
          <a:ext cx="1682752" cy="539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b="1"/>
            <a:t>学校教育法２０％</a:t>
          </a:r>
        </a:p>
      </xdr:txBody>
    </xdr:sp>
    <xdr:clientData/>
  </xdr:twoCellAnchor>
  <xdr:twoCellAnchor>
    <xdr:from>
      <xdr:col>35</xdr:col>
      <xdr:colOff>76200</xdr:colOff>
      <xdr:row>8</xdr:row>
      <xdr:rowOff>85725</xdr:rowOff>
    </xdr:from>
    <xdr:to>
      <xdr:col>45</xdr:col>
      <xdr:colOff>123823</xdr:colOff>
      <xdr:row>13</xdr:row>
      <xdr:rowOff>66675</xdr:rowOff>
    </xdr:to>
    <xdr:sp macro="" textlink="">
      <xdr:nvSpPr>
        <xdr:cNvPr id="25" name="テキスト ボックス 24"/>
        <xdr:cNvSpPr txBox="1"/>
      </xdr:nvSpPr>
      <xdr:spPr>
        <a:xfrm>
          <a:off x="8763000" y="1752600"/>
          <a:ext cx="2305048" cy="1104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該当があれば入力してください</a:t>
          </a:r>
          <a:endParaRPr kumimoji="1" lang="en-US" altLang="ja-JP" sz="1100" b="1">
            <a:solidFill>
              <a:srgbClr val="FF0000"/>
            </a:solidFill>
          </a:endParaRPr>
        </a:p>
        <a:p>
          <a:r>
            <a:rPr kumimoji="1" lang="ja-JP" altLang="en-US" sz="1100" b="1">
              <a:solidFill>
                <a:srgbClr val="FF0000"/>
              </a:solidFill>
            </a:rPr>
            <a:t>　　　　　　　　↓</a:t>
          </a:r>
        </a:p>
      </xdr:txBody>
    </xdr:sp>
    <xdr:clientData/>
  </xdr:twoCellAnchor>
  <xdr:twoCellAnchor>
    <xdr:from>
      <xdr:col>16</xdr:col>
      <xdr:colOff>133350</xdr:colOff>
      <xdr:row>22</xdr:row>
      <xdr:rowOff>47625</xdr:rowOff>
    </xdr:from>
    <xdr:to>
      <xdr:col>26</xdr:col>
      <xdr:colOff>95248</xdr:colOff>
      <xdr:row>28</xdr:row>
      <xdr:rowOff>142875</xdr:rowOff>
    </xdr:to>
    <xdr:sp macro="" textlink="">
      <xdr:nvSpPr>
        <xdr:cNvPr id="26" name="テキスト ボックス 25"/>
        <xdr:cNvSpPr txBox="1"/>
      </xdr:nvSpPr>
      <xdr:spPr>
        <a:xfrm>
          <a:off x="4457700" y="4638675"/>
          <a:ext cx="2305048" cy="1104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←走行距離を入力してください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114300</xdr:colOff>
      <xdr:row>4</xdr:row>
      <xdr:rowOff>258536</xdr:rowOff>
    </xdr:from>
    <xdr:to>
      <xdr:col>19</xdr:col>
      <xdr:colOff>185738</xdr:colOff>
      <xdr:row>6</xdr:row>
      <xdr:rowOff>12700</xdr:rowOff>
    </xdr:to>
    <xdr:sp macro="" textlink="">
      <xdr:nvSpPr>
        <xdr:cNvPr id="2" name="角丸四角形 1"/>
        <xdr:cNvSpPr/>
      </xdr:nvSpPr>
      <xdr:spPr>
        <a:xfrm>
          <a:off x="713014" y="1156607"/>
          <a:ext cx="4480153" cy="380093"/>
        </a:xfrm>
        <a:prstGeom prst="roundRect">
          <a:avLst/>
        </a:prstGeom>
        <a:noFill/>
        <a:ln>
          <a:solidFill>
            <a:schemeClr val="tx1">
              <a:alpha val="31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xdr:col>
      <xdr:colOff>214312</xdr:colOff>
      <xdr:row>4</xdr:row>
      <xdr:rowOff>293232</xdr:rowOff>
    </xdr:from>
    <xdr:to>
      <xdr:col>9</xdr:col>
      <xdr:colOff>138112</xdr:colOff>
      <xdr:row>6</xdr:row>
      <xdr:rowOff>68034</xdr:rowOff>
    </xdr:to>
    <xdr:sp macro="" textlink="">
      <xdr:nvSpPr>
        <xdr:cNvPr id="5" name="テキスト ボックス 4"/>
        <xdr:cNvSpPr txBox="1"/>
      </xdr:nvSpPr>
      <xdr:spPr>
        <a:xfrm>
          <a:off x="1901598" y="1191303"/>
          <a:ext cx="685800" cy="400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b="1"/>
            <a:t>大型</a:t>
          </a:r>
        </a:p>
      </xdr:txBody>
    </xdr:sp>
    <xdr:clientData/>
  </xdr:twoCellAnchor>
  <xdr:twoCellAnchor>
    <xdr:from>
      <xdr:col>10</xdr:col>
      <xdr:colOff>239712</xdr:colOff>
      <xdr:row>4</xdr:row>
      <xdr:rowOff>315684</xdr:rowOff>
    </xdr:from>
    <xdr:to>
      <xdr:col>13</xdr:col>
      <xdr:colOff>90487</xdr:colOff>
      <xdr:row>6</xdr:row>
      <xdr:rowOff>27213</xdr:rowOff>
    </xdr:to>
    <xdr:sp macro="" textlink="">
      <xdr:nvSpPr>
        <xdr:cNvPr id="6" name="テキスト ボックス 5"/>
        <xdr:cNvSpPr txBox="1"/>
      </xdr:nvSpPr>
      <xdr:spPr>
        <a:xfrm>
          <a:off x="2961141" y="1213755"/>
          <a:ext cx="667203" cy="337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b="1"/>
            <a:t>中型</a:t>
          </a:r>
        </a:p>
      </xdr:txBody>
    </xdr:sp>
    <xdr:clientData/>
  </xdr:twoCellAnchor>
  <xdr:twoCellAnchor>
    <xdr:from>
      <xdr:col>14</xdr:col>
      <xdr:colOff>193675</xdr:colOff>
      <xdr:row>4</xdr:row>
      <xdr:rowOff>315684</xdr:rowOff>
    </xdr:from>
    <xdr:to>
      <xdr:col>17</xdr:col>
      <xdr:colOff>200025</xdr:colOff>
      <xdr:row>6</xdr:row>
      <xdr:rowOff>27213</xdr:rowOff>
    </xdr:to>
    <xdr:sp macro="" textlink="">
      <xdr:nvSpPr>
        <xdr:cNvPr id="7" name="テキスト ボックス 6"/>
        <xdr:cNvSpPr txBox="1"/>
      </xdr:nvSpPr>
      <xdr:spPr>
        <a:xfrm>
          <a:off x="4003675" y="1213755"/>
          <a:ext cx="686707" cy="337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b="1"/>
            <a:t>小型</a:t>
          </a:r>
        </a:p>
      </xdr:txBody>
    </xdr:sp>
    <xdr:clientData/>
  </xdr:twoCellAnchor>
  <xdr:twoCellAnchor>
    <xdr:from>
      <xdr:col>9</xdr:col>
      <xdr:colOff>87313</xdr:colOff>
      <xdr:row>24</xdr:row>
      <xdr:rowOff>100012</xdr:rowOff>
    </xdr:from>
    <xdr:to>
      <xdr:col>12</xdr:col>
      <xdr:colOff>228601</xdr:colOff>
      <xdr:row>26</xdr:row>
      <xdr:rowOff>166687</xdr:rowOff>
    </xdr:to>
    <xdr:sp macro="" textlink="">
      <xdr:nvSpPr>
        <xdr:cNvPr id="8" name="テキスト ボックス 7"/>
        <xdr:cNvSpPr txBox="1"/>
      </xdr:nvSpPr>
      <xdr:spPr>
        <a:xfrm>
          <a:off x="2554288" y="4310062"/>
          <a:ext cx="96996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b="1"/>
            <a:t>割引なし</a:t>
          </a:r>
        </a:p>
      </xdr:txBody>
    </xdr:sp>
    <xdr:clientData/>
  </xdr:twoCellAnchor>
  <xdr:twoCellAnchor>
    <xdr:from>
      <xdr:col>12</xdr:col>
      <xdr:colOff>182561</xdr:colOff>
      <xdr:row>24</xdr:row>
      <xdr:rowOff>95250</xdr:rowOff>
    </xdr:from>
    <xdr:to>
      <xdr:col>18</xdr:col>
      <xdr:colOff>90487</xdr:colOff>
      <xdr:row>26</xdr:row>
      <xdr:rowOff>161925</xdr:rowOff>
    </xdr:to>
    <xdr:sp macro="" textlink="">
      <xdr:nvSpPr>
        <xdr:cNvPr id="9" name="テキスト ボックス 8"/>
        <xdr:cNvSpPr txBox="1"/>
      </xdr:nvSpPr>
      <xdr:spPr>
        <a:xfrm>
          <a:off x="3478211" y="4305300"/>
          <a:ext cx="1355726"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b="1"/>
            <a:t>身障者等３０％</a:t>
          </a:r>
        </a:p>
      </xdr:txBody>
    </xdr:sp>
    <xdr:clientData/>
  </xdr:twoCellAnchor>
  <xdr:twoCellAnchor>
    <xdr:from>
      <xdr:col>19</xdr:col>
      <xdr:colOff>6348</xdr:colOff>
      <xdr:row>24</xdr:row>
      <xdr:rowOff>95250</xdr:rowOff>
    </xdr:from>
    <xdr:to>
      <xdr:col>27</xdr:col>
      <xdr:colOff>76200</xdr:colOff>
      <xdr:row>27</xdr:row>
      <xdr:rowOff>114300</xdr:rowOff>
    </xdr:to>
    <xdr:sp macro="" textlink="">
      <xdr:nvSpPr>
        <xdr:cNvPr id="10" name="テキスト ボックス 9"/>
        <xdr:cNvSpPr txBox="1"/>
      </xdr:nvSpPr>
      <xdr:spPr>
        <a:xfrm>
          <a:off x="5099048" y="4578350"/>
          <a:ext cx="1898652" cy="527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b="1"/>
            <a:t>学校教育法２０％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3" Type="http://schemas.openxmlformats.org/officeDocument/2006/relationships/vmlDrawing" Target="../drawings/vmlDrawing2.vml"/><Relationship Id="rId7" Type="http://schemas.openxmlformats.org/officeDocument/2006/relationships/ctrlProp" Target="../ctrlProps/ctrlProp17.xml"/><Relationship Id="rId12" Type="http://schemas.openxmlformats.org/officeDocument/2006/relationships/ctrlProp" Target="../ctrlProps/ctrlProp2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5" Type="http://schemas.openxmlformats.org/officeDocument/2006/relationships/ctrlProp" Target="../ctrlProps/ctrlProp2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sheetPr>
    <pageSetUpPr fitToPage="1"/>
  </sheetPr>
  <dimension ref="A1"/>
  <sheetViews>
    <sheetView workbookViewId="0"/>
  </sheetViews>
  <sheetFormatPr defaultRowHeight="13.5"/>
  <sheetData/>
  <sheetProtection password="CA41" sheet="1" objects="1" scenarios="1" selectLockedCells="1" selectUnlockedCells="1"/>
  <phoneticPr fontId="2"/>
  <pageMargins left="0.7" right="0.7" top="0.75" bottom="0.75" header="0.3" footer="0.3"/>
  <pageSetup paperSize="9" scale="81" orientation="portrait" r:id="rId1"/>
  <drawing r:id="rId2"/>
</worksheet>
</file>

<file path=xl/worksheets/sheet2.xml><?xml version="1.0" encoding="utf-8"?>
<worksheet xmlns="http://schemas.openxmlformats.org/spreadsheetml/2006/main" xmlns:r="http://schemas.openxmlformats.org/officeDocument/2006/relationships">
  <sheetPr codeName="Sheet1"/>
  <dimension ref="A1:BQ121"/>
  <sheetViews>
    <sheetView showGridLines="0" showRowColHeaders="0" zoomScale="75" zoomScaleNormal="75" workbookViewId="0">
      <selection activeCell="P12" sqref="P12:Q12"/>
    </sheetView>
  </sheetViews>
  <sheetFormatPr defaultColWidth="0" defaultRowHeight="13.5" zeroHeight="1"/>
  <cols>
    <col min="1" max="2" width="4" style="5" customWidth="1"/>
    <col min="3" max="7" width="3.625" style="5" customWidth="1"/>
    <col min="8" max="9" width="3.125" style="5" customWidth="1"/>
    <col min="10" max="15" width="3.625" style="5" customWidth="1"/>
    <col min="16" max="16" width="2.625" style="5" customWidth="1"/>
    <col min="17" max="17" width="3.375" style="5" customWidth="1"/>
    <col min="18" max="18" width="3.75" style="184" customWidth="1"/>
    <col min="19" max="20" width="4.5" style="5" customWidth="1"/>
    <col min="21" max="21" width="2.625" style="5" customWidth="1"/>
    <col min="22" max="23" width="3.625" style="5" customWidth="1"/>
    <col min="24" max="24" width="4.25" style="5" customWidth="1"/>
    <col min="25" max="25" width="2.375" style="5" customWidth="1"/>
    <col min="26" max="26" width="3.125" style="5" customWidth="1"/>
    <col min="27" max="27" width="3" style="5" customWidth="1"/>
    <col min="28" max="29" width="2.625" style="5" customWidth="1"/>
    <col min="30" max="30" width="3.625" style="5" customWidth="1"/>
    <col min="31" max="31" width="2.125" style="5" customWidth="1"/>
    <col min="32" max="33" width="2.625" style="5" customWidth="1"/>
    <col min="34" max="35" width="3.625" style="5" customWidth="1"/>
    <col min="36" max="38" width="3" style="5" customWidth="1"/>
    <col min="39" max="40" width="2.625" style="5" customWidth="1"/>
    <col min="41" max="42" width="2.75" style="5" customWidth="1"/>
    <col min="43" max="44" width="3.125" style="5" customWidth="1"/>
    <col min="45" max="45" width="3.625" style="5" customWidth="1"/>
    <col min="46" max="47" width="3.875" style="5" customWidth="1"/>
    <col min="48" max="48" width="3.875" style="10" customWidth="1"/>
    <col min="49" max="49" width="7" style="30" hidden="1" customWidth="1"/>
    <col min="50" max="50" width="9.25" style="30" hidden="1" customWidth="1"/>
    <col min="51" max="51" width="4" style="30" hidden="1" customWidth="1"/>
    <col min="52" max="53" width="3.875" style="30" hidden="1" customWidth="1"/>
    <col min="54" max="54" width="3.25" style="30" hidden="1" customWidth="1"/>
    <col min="55" max="55" width="3.875" style="30" hidden="1" customWidth="1"/>
    <col min="56" max="61" width="3.5" style="30" hidden="1" customWidth="1"/>
    <col min="62" max="62" width="9.875" style="30" hidden="1" customWidth="1"/>
    <col min="63" max="63" width="9.875" style="5" hidden="1" customWidth="1"/>
    <col min="64" max="64" width="11.875" style="5" hidden="1" customWidth="1"/>
    <col min="65" max="65" width="3.375" style="5" hidden="1" customWidth="1"/>
    <col min="66" max="66" width="8.75" style="5" hidden="1" customWidth="1"/>
    <col min="67" max="67" width="9" style="5" hidden="1" customWidth="1"/>
    <col min="68" max="68" width="7.625" style="5" hidden="1" customWidth="1"/>
    <col min="69" max="16384" width="9" style="5" hidden="1"/>
  </cols>
  <sheetData>
    <row r="1" spans="2:69" ht="6.75" customHeight="1" thickBot="1">
      <c r="D1" s="265" t="s">
        <v>111</v>
      </c>
      <c r="E1" s="265"/>
      <c r="F1" s="265"/>
      <c r="G1" s="265"/>
      <c r="H1" s="265"/>
      <c r="I1" s="265"/>
      <c r="J1" s="265"/>
      <c r="K1" s="265"/>
      <c r="L1" s="265"/>
      <c r="M1" s="265"/>
      <c r="N1" s="265"/>
      <c r="O1" s="265"/>
      <c r="P1" s="265"/>
      <c r="Q1" s="265"/>
      <c r="R1" s="265"/>
      <c r="S1" s="265"/>
      <c r="T1" s="265"/>
      <c r="U1" s="265"/>
      <c r="V1" s="265"/>
      <c r="W1" s="265"/>
      <c r="X1" s="265"/>
      <c r="Y1" s="265"/>
      <c r="Z1" s="265"/>
      <c r="AA1" s="265"/>
    </row>
    <row r="2" spans="2:69" ht="21" customHeight="1" thickBot="1">
      <c r="D2" s="265"/>
      <c r="E2" s="265"/>
      <c r="F2" s="265"/>
      <c r="G2" s="265"/>
      <c r="H2" s="265"/>
      <c r="I2" s="265"/>
      <c r="J2" s="265"/>
      <c r="K2" s="265"/>
      <c r="L2" s="265"/>
      <c r="M2" s="265"/>
      <c r="N2" s="265"/>
      <c r="O2" s="265"/>
      <c r="P2" s="265"/>
      <c r="Q2" s="265"/>
      <c r="R2" s="265"/>
      <c r="S2" s="265"/>
      <c r="T2" s="265"/>
      <c r="U2" s="265"/>
      <c r="V2" s="265"/>
      <c r="W2" s="265"/>
      <c r="X2" s="265"/>
      <c r="Y2" s="265"/>
      <c r="Z2" s="265"/>
      <c r="AA2" s="265"/>
      <c r="AB2" s="31"/>
      <c r="AC2" s="32"/>
      <c r="AD2" s="33"/>
      <c r="AE2" s="34"/>
      <c r="AF2" s="110" t="s">
        <v>50</v>
      </c>
      <c r="AG2" s="35"/>
      <c r="AH2" s="35"/>
      <c r="AI2" s="35"/>
      <c r="AJ2" s="35"/>
      <c r="AK2" s="35"/>
      <c r="AL2" s="35"/>
      <c r="AM2" s="35"/>
      <c r="AN2" s="35"/>
      <c r="AO2" s="35"/>
      <c r="BE2" s="236"/>
      <c r="BF2" s="236"/>
      <c r="BG2" s="236"/>
      <c r="BH2" s="236"/>
      <c r="BI2" s="236"/>
      <c r="BJ2" s="236"/>
    </row>
    <row r="3" spans="2:69" ht="21" customHeight="1">
      <c r="D3" s="122"/>
      <c r="E3" s="122"/>
      <c r="F3" s="122"/>
      <c r="G3" s="122"/>
      <c r="H3" s="122"/>
      <c r="I3" s="122"/>
      <c r="J3" s="122"/>
      <c r="K3" s="122"/>
      <c r="L3" s="122"/>
      <c r="M3" s="122"/>
      <c r="N3" s="122"/>
      <c r="O3" s="122"/>
      <c r="P3" s="122"/>
      <c r="Q3" s="122"/>
      <c r="R3" s="191"/>
      <c r="S3" s="122"/>
      <c r="T3" s="122"/>
      <c r="U3" s="122"/>
      <c r="V3" s="122"/>
      <c r="W3" s="122"/>
      <c r="X3" s="122"/>
      <c r="Y3" s="122"/>
      <c r="Z3" s="122"/>
      <c r="AA3" s="122"/>
      <c r="AB3" s="31"/>
      <c r="AC3" s="36"/>
      <c r="AD3" s="36"/>
      <c r="AE3" s="36"/>
      <c r="AF3" s="35"/>
      <c r="AG3" s="35"/>
      <c r="AH3" s="35"/>
      <c r="AI3" s="35"/>
      <c r="AJ3" s="35"/>
      <c r="AK3" s="35"/>
      <c r="AL3" s="35"/>
      <c r="AM3" s="35"/>
      <c r="AN3" s="35"/>
      <c r="AO3" s="35"/>
      <c r="BE3" s="221"/>
      <c r="BF3" s="221"/>
      <c r="BG3" s="221"/>
      <c r="BH3" s="221"/>
      <c r="BI3" s="221"/>
      <c r="BJ3" s="221"/>
    </row>
    <row r="4" spans="2:69" ht="21" customHeight="1">
      <c r="C4" s="10"/>
      <c r="D4" s="122"/>
      <c r="E4" s="122"/>
      <c r="F4" s="122"/>
      <c r="G4" s="122"/>
      <c r="H4" s="122"/>
      <c r="I4" s="122"/>
      <c r="J4" s="122"/>
      <c r="K4" s="61" t="s">
        <v>108</v>
      </c>
      <c r="L4" s="122"/>
      <c r="N4" s="99"/>
      <c r="O4" s="99"/>
      <c r="Q4" s="99"/>
      <c r="R4" s="191"/>
      <c r="S4" s="122"/>
      <c r="T4" s="122"/>
      <c r="U4" s="122"/>
      <c r="V4" s="122"/>
      <c r="W4" s="100"/>
      <c r="X4" s="101"/>
      <c r="Y4" s="122"/>
      <c r="Z4" s="122"/>
      <c r="AA4" s="122"/>
      <c r="AB4" s="31"/>
      <c r="AC4" s="36"/>
      <c r="AD4" s="36"/>
      <c r="AE4" s="36"/>
      <c r="AF4" s="35"/>
      <c r="AG4" s="35"/>
      <c r="AH4" s="35"/>
      <c r="AI4" s="35"/>
      <c r="AJ4" s="35"/>
      <c r="AK4" s="35"/>
      <c r="AL4" s="35"/>
      <c r="AM4" s="35"/>
      <c r="AN4" s="35"/>
      <c r="AO4" s="35"/>
      <c r="AW4" s="30" t="str">
        <f>VLOOKUP($AW$5,$AW$13:$AX$22,2,FALSE)</f>
        <v>関東</v>
      </c>
      <c r="BE4" s="221"/>
      <c r="BF4" s="221"/>
      <c r="BG4" s="221"/>
      <c r="BH4" s="221"/>
      <c r="BI4" s="221"/>
      <c r="BJ4" s="221"/>
    </row>
    <row r="5" spans="2:69">
      <c r="AW5" s="30">
        <v>3</v>
      </c>
    </row>
    <row r="6" spans="2:69" ht="23.25" customHeight="1">
      <c r="D6" s="38" t="s">
        <v>0</v>
      </c>
      <c r="E6" s="39"/>
      <c r="G6" s="129"/>
      <c r="H6" s="129"/>
      <c r="I6" s="111"/>
      <c r="J6" s="111"/>
      <c r="K6" s="111"/>
      <c r="L6" s="111"/>
      <c r="M6" s="111"/>
      <c r="N6" s="111"/>
      <c r="O6" s="111"/>
      <c r="P6" s="111"/>
      <c r="Q6" s="111"/>
      <c r="S6" s="130"/>
      <c r="U6" s="40" t="s">
        <v>107</v>
      </c>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23"/>
      <c r="AW6" s="175"/>
      <c r="AX6" s="175"/>
      <c r="AY6" s="175"/>
      <c r="AZ6" s="175"/>
      <c r="BA6" s="175"/>
      <c r="BB6" s="175"/>
      <c r="BC6" s="175"/>
      <c r="BD6" s="175"/>
      <c r="BE6" s="175"/>
      <c r="BF6" s="174"/>
      <c r="BG6" s="174"/>
      <c r="BH6" s="174"/>
      <c r="BI6" s="174"/>
      <c r="BK6" s="210"/>
    </row>
    <row r="7" spans="2:69" ht="9" customHeight="1">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23"/>
      <c r="AW7" s="175"/>
      <c r="AX7" s="175"/>
      <c r="AY7" s="175"/>
      <c r="AZ7" s="175"/>
      <c r="BA7" s="175"/>
      <c r="BB7" s="175"/>
      <c r="BC7" s="175"/>
      <c r="BD7" s="175"/>
      <c r="BE7" s="175"/>
    </row>
    <row r="8" spans="2:69" ht="15.75" customHeight="1">
      <c r="B8" s="266" t="s">
        <v>36</v>
      </c>
      <c r="C8" s="266"/>
      <c r="D8" s="266"/>
      <c r="E8" s="41"/>
      <c r="F8" s="41"/>
      <c r="N8" s="252" t="s">
        <v>14</v>
      </c>
      <c r="O8" s="252"/>
      <c r="P8" s="252"/>
      <c r="Q8" s="40"/>
      <c r="R8" s="252" t="s">
        <v>8</v>
      </c>
      <c r="S8" s="252"/>
      <c r="T8" s="252"/>
      <c r="U8" s="10"/>
      <c r="V8" s="10"/>
      <c r="W8" s="10"/>
      <c r="X8" s="10"/>
      <c r="Y8" s="10"/>
      <c r="Z8" s="10"/>
      <c r="AA8" s="10"/>
      <c r="AB8" s="10"/>
      <c r="AC8" s="10"/>
      <c r="AD8" s="10"/>
      <c r="AE8" s="10"/>
      <c r="AF8" s="10"/>
      <c r="AG8" s="10"/>
      <c r="AI8" s="10"/>
      <c r="AJ8" s="10"/>
      <c r="AK8" s="10"/>
    </row>
    <row r="9" spans="2:69" ht="19.5" customHeight="1">
      <c r="B9" s="266"/>
      <c r="C9" s="266"/>
      <c r="D9" s="266"/>
      <c r="E9" s="41"/>
      <c r="F9" s="41"/>
      <c r="G9" s="5" t="s">
        <v>24</v>
      </c>
      <c r="I9" s="115"/>
      <c r="J9" s="240" t="s">
        <v>17</v>
      </c>
      <c r="K9" s="240"/>
      <c r="L9" s="247"/>
      <c r="N9" s="253">
        <f ca="1">VLOOKUP($AW$9,INDIRECT($AW$4),3)</f>
        <v>6480</v>
      </c>
      <c r="O9" s="253"/>
      <c r="P9" s="253"/>
      <c r="Q9" s="42" t="s">
        <v>15</v>
      </c>
      <c r="R9" s="253">
        <f ca="1">VLOOKUP($AW$9,INDIRECT(AW4),4)</f>
        <v>4490</v>
      </c>
      <c r="S9" s="253"/>
      <c r="T9" s="253"/>
      <c r="U9" s="43" t="s">
        <v>105</v>
      </c>
      <c r="V9" s="18"/>
      <c r="W9" s="18"/>
      <c r="X9" s="18"/>
      <c r="Y9" s="18"/>
      <c r="Z9" s="18"/>
      <c r="AB9" s="18"/>
      <c r="AC9" s="18"/>
      <c r="AD9" s="18"/>
      <c r="AE9" s="18"/>
      <c r="AF9" s="18"/>
      <c r="AG9" s="18"/>
      <c r="AJ9" s="1"/>
      <c r="AK9" s="1"/>
      <c r="AW9" s="30">
        <v>2</v>
      </c>
    </row>
    <row r="10" spans="2:69" ht="19.5" customHeight="1">
      <c r="B10" s="132"/>
      <c r="C10" s="132"/>
      <c r="D10" s="132"/>
      <c r="E10" s="41"/>
      <c r="F10" s="41"/>
      <c r="I10" s="115"/>
      <c r="J10" s="111"/>
      <c r="K10" s="111"/>
      <c r="L10" s="123"/>
      <c r="N10" s="127"/>
      <c r="O10" s="127"/>
      <c r="P10" s="127"/>
      <c r="Q10" s="2"/>
      <c r="R10" s="196"/>
      <c r="S10" s="127"/>
      <c r="T10" s="127"/>
      <c r="U10" s="43"/>
      <c r="V10" s="18"/>
      <c r="W10" s="18"/>
      <c r="X10" s="18"/>
      <c r="Y10" s="18"/>
      <c r="Z10" s="18"/>
      <c r="AB10" s="18"/>
      <c r="AC10" s="18"/>
      <c r="AD10" s="18"/>
      <c r="AE10" s="18"/>
      <c r="AF10" s="18"/>
      <c r="AG10" s="18"/>
      <c r="AJ10" s="1"/>
      <c r="AK10" s="1"/>
    </row>
    <row r="11" spans="2:69" ht="15.75" customHeight="1" thickBot="1">
      <c r="P11" s="240" t="s">
        <v>69</v>
      </c>
      <c r="Q11" s="240"/>
      <c r="R11" s="240"/>
      <c r="S11" s="240"/>
      <c r="T11" s="240"/>
      <c r="U11" s="240"/>
      <c r="W11" s="173"/>
      <c r="AB11" s="240" t="s">
        <v>70</v>
      </c>
      <c r="AC11" s="240"/>
      <c r="AD11" s="240"/>
      <c r="AE11" s="240"/>
      <c r="AF11" s="240"/>
      <c r="AG11" s="240"/>
      <c r="AH11" s="44"/>
      <c r="AJ11" s="241" t="s">
        <v>43</v>
      </c>
      <c r="AK11" s="241"/>
      <c r="AL11" s="241"/>
      <c r="AM11" s="241"/>
      <c r="AN11" s="241"/>
      <c r="AO11" s="241"/>
      <c r="AP11" s="241"/>
      <c r="AQ11" s="241"/>
      <c r="AR11" s="241"/>
      <c r="AS11" s="45"/>
      <c r="AT11" s="46"/>
      <c r="AU11" s="17"/>
      <c r="AV11" s="24"/>
      <c r="AW11" s="222"/>
      <c r="AX11" s="222"/>
      <c r="AY11" s="222"/>
    </row>
    <row r="12" spans="2:69" ht="18.75" customHeight="1" thickBot="1">
      <c r="B12" s="11"/>
      <c r="C12" s="11"/>
      <c r="D12" s="11"/>
      <c r="J12" s="44"/>
      <c r="K12" s="44"/>
      <c r="L12" s="44"/>
      <c r="M12" s="26" t="s">
        <v>112</v>
      </c>
      <c r="N12" s="44" t="s">
        <v>32</v>
      </c>
      <c r="O12" s="18"/>
      <c r="P12" s="244">
        <v>15</v>
      </c>
      <c r="Q12" s="245"/>
      <c r="R12" s="192" t="s">
        <v>20</v>
      </c>
      <c r="S12" s="1"/>
      <c r="T12" s="242">
        <v>0</v>
      </c>
      <c r="U12" s="243"/>
      <c r="V12" s="18" t="s">
        <v>34</v>
      </c>
      <c r="W12" s="18"/>
      <c r="X12" s="123"/>
      <c r="Y12" s="123"/>
      <c r="Z12" s="123"/>
      <c r="AA12" s="123"/>
      <c r="AB12" s="247">
        <f>IF(OR($T$12="",$T$12=0,),IF(OR($P$12="",$P$12=0),0,IF($P$12&gt;3,$P$12+2,5)),IF(OR($P$12="",$P$12&lt;3),5,$P$12+2))</f>
        <v>17</v>
      </c>
      <c r="AC12" s="247"/>
      <c r="AD12" s="1" t="s">
        <v>20</v>
      </c>
      <c r="AE12" s="123"/>
      <c r="AF12" s="267">
        <f>IF($P$12&lt;3,0,$T$12)</f>
        <v>0</v>
      </c>
      <c r="AG12" s="267"/>
      <c r="AH12" s="1" t="s">
        <v>26</v>
      </c>
      <c r="AI12" s="123"/>
      <c r="AJ12" s="240" t="s">
        <v>32</v>
      </c>
      <c r="AK12" s="240"/>
      <c r="AL12" s="240"/>
      <c r="AM12" s="244">
        <v>2</v>
      </c>
      <c r="AN12" s="245"/>
      <c r="AO12" s="247" t="s">
        <v>20</v>
      </c>
      <c r="AP12" s="247"/>
      <c r="AQ12" s="242">
        <v>0</v>
      </c>
      <c r="AR12" s="243"/>
      <c r="AS12" s="1" t="s">
        <v>26</v>
      </c>
      <c r="AT12" s="1"/>
      <c r="AU12" s="1"/>
      <c r="AV12" s="25"/>
      <c r="BB12" s="178"/>
      <c r="BC12" s="178"/>
      <c r="BD12" s="178"/>
      <c r="BE12" s="178"/>
      <c r="BF12" s="178"/>
      <c r="BG12" s="178"/>
      <c r="BH12" s="178"/>
      <c r="BI12" s="178"/>
    </row>
    <row r="13" spans="2:69" ht="15" customHeight="1" thickBot="1">
      <c r="B13" s="11"/>
      <c r="C13" s="11"/>
      <c r="D13" s="11"/>
      <c r="J13" s="111"/>
      <c r="K13" s="111"/>
      <c r="L13" s="111"/>
      <c r="M13" s="44"/>
      <c r="N13" s="44"/>
      <c r="O13" s="18"/>
      <c r="P13" s="47"/>
      <c r="Q13" s="47"/>
      <c r="R13" s="192"/>
      <c r="S13" s="1"/>
      <c r="T13" s="47"/>
      <c r="U13" s="47"/>
      <c r="V13" s="237" t="str">
        <f>IF(P12&gt;=3,"",IF(P12*60+T12&gt;0,"走行時間は最低３時間のため＋２時間で５時間となります",""))</f>
        <v/>
      </c>
      <c r="W13" s="237"/>
      <c r="X13" s="237"/>
      <c r="Y13" s="237"/>
      <c r="Z13" s="237"/>
      <c r="AA13" s="237"/>
      <c r="AB13" s="237"/>
      <c r="AC13" s="237"/>
      <c r="AD13" s="237"/>
      <c r="AE13" s="237"/>
      <c r="AF13" s="237"/>
      <c r="AG13" s="237"/>
      <c r="AH13" s="237"/>
      <c r="AI13" s="237"/>
      <c r="AJ13" s="237"/>
      <c r="AM13" s="48"/>
      <c r="AN13" s="48"/>
      <c r="AQ13" s="47"/>
      <c r="AR13" s="48"/>
      <c r="AS13" s="124"/>
      <c r="AT13" s="1"/>
      <c r="AU13" s="1"/>
      <c r="AV13" s="25"/>
      <c r="AW13" s="30">
        <v>1</v>
      </c>
      <c r="AX13" s="30" t="s">
        <v>82</v>
      </c>
      <c r="BB13" s="178"/>
      <c r="BC13" s="178"/>
      <c r="BD13" s="178"/>
      <c r="BE13" s="178"/>
      <c r="BF13" s="178"/>
      <c r="BG13" s="178"/>
      <c r="BH13" s="178"/>
      <c r="BI13" s="178"/>
    </row>
    <row r="14" spans="2:69" ht="18.75" customHeight="1" thickBot="1">
      <c r="B14" s="11"/>
      <c r="C14" s="11"/>
      <c r="D14" s="11"/>
      <c r="J14" s="44"/>
      <c r="K14" s="44"/>
      <c r="L14" s="44"/>
      <c r="M14" s="26" t="s">
        <v>112</v>
      </c>
      <c r="N14" s="44" t="s">
        <v>31</v>
      </c>
      <c r="O14" s="18"/>
      <c r="P14" s="244"/>
      <c r="Q14" s="245"/>
      <c r="R14" s="192" t="s">
        <v>20</v>
      </c>
      <c r="S14" s="1"/>
      <c r="T14" s="242"/>
      <c r="U14" s="243"/>
      <c r="V14" s="18" t="s">
        <v>34</v>
      </c>
      <c r="W14" s="18"/>
      <c r="X14" s="123"/>
      <c r="Y14" s="123"/>
      <c r="Z14" s="123"/>
      <c r="AA14" s="123"/>
      <c r="AB14" s="247">
        <f>IF(OR($T$14="",$T$14=0,),IF(OR($P$14="",$P$14=0),0,IF($P$14&gt;3,$P$14+2,5)),IF(OR($P$14="",$P$14&lt;3),5,$P$14+2))</f>
        <v>0</v>
      </c>
      <c r="AC14" s="247"/>
      <c r="AD14" s="1" t="s">
        <v>20</v>
      </c>
      <c r="AE14" s="123"/>
      <c r="AF14" s="267">
        <f>IF($P$14&lt;3,0,$T$14)</f>
        <v>0</v>
      </c>
      <c r="AG14" s="267"/>
      <c r="AH14" s="1" t="s">
        <v>26</v>
      </c>
      <c r="AI14" s="123"/>
      <c r="AJ14" s="240" t="s">
        <v>31</v>
      </c>
      <c r="AK14" s="240"/>
      <c r="AL14" s="240"/>
      <c r="AM14" s="244"/>
      <c r="AN14" s="245"/>
      <c r="AO14" s="247" t="s">
        <v>20</v>
      </c>
      <c r="AP14" s="247"/>
      <c r="AQ14" s="242"/>
      <c r="AR14" s="243"/>
      <c r="AS14" s="1" t="s">
        <v>26</v>
      </c>
      <c r="AT14" s="1"/>
      <c r="AU14" s="1"/>
      <c r="AV14" s="25"/>
      <c r="AW14" s="30">
        <v>2</v>
      </c>
      <c r="AX14" s="30" t="s">
        <v>83</v>
      </c>
      <c r="BB14" s="178"/>
      <c r="BC14" s="178"/>
      <c r="BD14" s="178"/>
      <c r="BE14" s="178"/>
      <c r="BF14" s="178"/>
      <c r="BG14" s="178"/>
      <c r="BH14" s="178"/>
      <c r="BI14" s="178"/>
      <c r="BN14" s="210"/>
      <c r="BP14" s="16"/>
      <c r="BQ14" s="223"/>
    </row>
    <row r="15" spans="2:69" ht="15" customHeight="1" thickBot="1">
      <c r="B15" s="11"/>
      <c r="C15" s="11"/>
      <c r="D15" s="11"/>
      <c r="M15" s="44"/>
      <c r="N15" s="44"/>
      <c r="O15" s="18"/>
      <c r="P15" s="47"/>
      <c r="Q15" s="47"/>
      <c r="R15" s="192"/>
      <c r="S15" s="1"/>
      <c r="T15" s="47"/>
      <c r="U15" s="47"/>
      <c r="V15" s="237" t="str">
        <f>IF(P14&gt;=3,"",IF(P14*60+T14&gt;0,"走行時間は最低３時間のため＋２時間で５時間となります",""))</f>
        <v/>
      </c>
      <c r="W15" s="237"/>
      <c r="X15" s="237"/>
      <c r="Y15" s="237"/>
      <c r="Z15" s="237"/>
      <c r="AA15" s="237"/>
      <c r="AB15" s="237"/>
      <c r="AC15" s="237"/>
      <c r="AD15" s="237"/>
      <c r="AE15" s="237"/>
      <c r="AF15" s="237"/>
      <c r="AG15" s="237"/>
      <c r="AH15" s="237"/>
      <c r="AI15" s="237"/>
      <c r="AJ15" s="237"/>
      <c r="AM15" s="48"/>
      <c r="AN15" s="48"/>
      <c r="AQ15" s="47"/>
      <c r="AR15" s="48"/>
      <c r="AS15" s="124"/>
      <c r="AT15" s="1"/>
      <c r="AU15" s="1"/>
      <c r="AV15" s="25"/>
      <c r="AW15" s="30">
        <v>3</v>
      </c>
      <c r="AX15" s="30" t="s">
        <v>84</v>
      </c>
      <c r="BB15" s="178"/>
      <c r="BC15" s="178"/>
      <c r="BD15" s="178"/>
      <c r="BE15" s="178"/>
      <c r="BF15" s="178"/>
      <c r="BG15" s="178"/>
      <c r="BH15" s="178"/>
      <c r="BI15" s="178"/>
      <c r="BN15" s="210"/>
      <c r="BP15" s="16"/>
      <c r="BQ15" s="223"/>
    </row>
    <row r="16" spans="2:69" ht="18.75" customHeight="1" thickBot="1">
      <c r="B16" s="11"/>
      <c r="C16" s="11"/>
      <c r="D16" s="11"/>
      <c r="J16" s="44"/>
      <c r="K16" s="44"/>
      <c r="L16" s="44"/>
      <c r="M16" s="26" t="s">
        <v>112</v>
      </c>
      <c r="N16" s="44" t="s">
        <v>33</v>
      </c>
      <c r="O16" s="18"/>
      <c r="P16" s="244"/>
      <c r="Q16" s="245"/>
      <c r="R16" s="192" t="s">
        <v>20</v>
      </c>
      <c r="S16" s="1"/>
      <c r="T16" s="242"/>
      <c r="U16" s="243"/>
      <c r="V16" s="18" t="s">
        <v>34</v>
      </c>
      <c r="W16" s="18"/>
      <c r="X16" s="123"/>
      <c r="Y16" s="123"/>
      <c r="Z16" s="123"/>
      <c r="AA16" s="123"/>
      <c r="AB16" s="247">
        <f>IF(OR($T$16="",$T$16=0,),IF(OR($P$16="",$P$16=0),0,IF($P$16&gt;3,$P$16+2,5)),IF(OR($P$16="",$P$16&lt;3),5,$P$16+2))</f>
        <v>0</v>
      </c>
      <c r="AC16" s="247"/>
      <c r="AD16" s="1" t="s">
        <v>20</v>
      </c>
      <c r="AE16" s="123"/>
      <c r="AF16" s="267">
        <f>IF($P$16&lt;3,0,$T$16)</f>
        <v>0</v>
      </c>
      <c r="AG16" s="267"/>
      <c r="AH16" s="1" t="s">
        <v>26</v>
      </c>
      <c r="AI16" s="123"/>
      <c r="AJ16" s="240" t="s">
        <v>33</v>
      </c>
      <c r="AK16" s="240"/>
      <c r="AL16" s="240"/>
      <c r="AM16" s="244"/>
      <c r="AN16" s="245"/>
      <c r="AO16" s="247" t="s">
        <v>20</v>
      </c>
      <c r="AP16" s="247"/>
      <c r="AQ16" s="242"/>
      <c r="AR16" s="243"/>
      <c r="AS16" s="1" t="s">
        <v>26</v>
      </c>
      <c r="AT16" s="1"/>
      <c r="AU16" s="1"/>
      <c r="AV16" s="25"/>
      <c r="AW16" s="30">
        <v>4</v>
      </c>
      <c r="AX16" s="30" t="s">
        <v>85</v>
      </c>
      <c r="BB16" s="178"/>
      <c r="BC16" s="178"/>
      <c r="BD16" s="178"/>
      <c r="BE16" s="178"/>
      <c r="BF16" s="178"/>
      <c r="BG16" s="178"/>
      <c r="BH16" s="178"/>
      <c r="BI16" s="178"/>
      <c r="BK16" s="92"/>
      <c r="BN16" s="210"/>
      <c r="BP16" s="16"/>
      <c r="BQ16" s="223"/>
    </row>
    <row r="17" spans="2:69" ht="15" customHeight="1">
      <c r="B17" s="11"/>
      <c r="C17" s="11"/>
      <c r="D17" s="11"/>
      <c r="M17" s="44"/>
      <c r="N17" s="44"/>
      <c r="O17" s="18"/>
      <c r="P17" s="123"/>
      <c r="Q17" s="123"/>
      <c r="R17" s="192"/>
      <c r="S17" s="1"/>
      <c r="T17" s="123"/>
      <c r="U17" s="123"/>
      <c r="V17" s="237" t="str">
        <f>IF(P16&gt;=3,"",IF(P16*60+T16&gt;0,"※走行時間は最低３時間のため＋２時間で５時間となります",""))</f>
        <v/>
      </c>
      <c r="W17" s="237"/>
      <c r="X17" s="237"/>
      <c r="Y17" s="237"/>
      <c r="Z17" s="237"/>
      <c r="AA17" s="237"/>
      <c r="AB17" s="237"/>
      <c r="AC17" s="237"/>
      <c r="AD17" s="237"/>
      <c r="AE17" s="237"/>
      <c r="AF17" s="237"/>
      <c r="AG17" s="237"/>
      <c r="AH17" s="237"/>
      <c r="AI17" s="237"/>
      <c r="AJ17" s="237"/>
      <c r="AK17" s="123"/>
      <c r="AL17" s="123"/>
      <c r="AM17" s="123"/>
      <c r="AN17" s="123"/>
      <c r="AO17" s="123"/>
      <c r="AP17" s="123"/>
      <c r="AQ17" s="123"/>
      <c r="AR17" s="123"/>
      <c r="AS17" s="123"/>
      <c r="AT17" s="1"/>
      <c r="AU17" s="1"/>
      <c r="AV17" s="25"/>
      <c r="AW17" s="30">
        <v>5</v>
      </c>
      <c r="AX17" s="30" t="s">
        <v>86</v>
      </c>
      <c r="BB17" s="178"/>
      <c r="BC17" s="178"/>
      <c r="BD17" s="178"/>
      <c r="BE17" s="178"/>
      <c r="BF17" s="178"/>
      <c r="BG17" s="178"/>
      <c r="BH17" s="178"/>
      <c r="BI17" s="178"/>
      <c r="BK17" s="92"/>
      <c r="BN17" s="210"/>
      <c r="BP17" s="16"/>
      <c r="BQ17" s="223"/>
    </row>
    <row r="18" spans="2:69" ht="19.5" customHeight="1">
      <c r="B18" s="11"/>
      <c r="C18" s="11"/>
      <c r="D18" s="11"/>
      <c r="W18" s="1"/>
      <c r="Z18" s="114" t="s">
        <v>27</v>
      </c>
      <c r="AC18" s="263">
        <f>ROUND(((+AB12+AB14+AB16)*60+AF12+AF14+AF16)/60,0)</f>
        <v>17</v>
      </c>
      <c r="AD18" s="263"/>
      <c r="AE18" s="263"/>
      <c r="AF18" s="1" t="s">
        <v>20</v>
      </c>
      <c r="AK18" s="5" t="s">
        <v>44</v>
      </c>
      <c r="AQ18" s="263">
        <f>ROUND(((+AM12+AM14+AM16)*60+AQ12+AQ14+AQ16)/60,0)</f>
        <v>2</v>
      </c>
      <c r="AR18" s="263"/>
      <c r="AS18" s="1" t="s">
        <v>20</v>
      </c>
      <c r="AV18" s="19"/>
      <c r="AW18" s="178">
        <v>6</v>
      </c>
      <c r="AX18" s="30" t="s">
        <v>91</v>
      </c>
      <c r="BB18" s="178"/>
      <c r="BC18" s="178"/>
      <c r="BK18" s="92"/>
      <c r="BN18" s="210"/>
      <c r="BP18" s="16"/>
      <c r="BQ18" s="223"/>
    </row>
    <row r="19" spans="2:69" ht="15" customHeight="1">
      <c r="B19" s="11"/>
      <c r="C19" s="11"/>
      <c r="D19" s="11"/>
      <c r="Y19" s="109"/>
      <c r="Z19" s="109"/>
      <c r="AA19" s="109"/>
      <c r="AC19" s="109"/>
      <c r="AD19" s="109" t="str">
        <f>IF(OR(MOD(AF12+AF14+AF16,60)&gt;0,MOD(AQ12+AQ14+AQ16,60)&gt;0),"※３０分未満は切り捨て、３０分以上は１時間に切り上げとなります。","")</f>
        <v/>
      </c>
      <c r="AE19" s="109"/>
      <c r="AF19" s="109"/>
      <c r="AG19" s="109"/>
      <c r="AH19" s="109"/>
      <c r="AI19" s="109"/>
      <c r="AJ19" s="109"/>
      <c r="AK19" s="109"/>
      <c r="AL19" s="109"/>
      <c r="AM19" s="109"/>
      <c r="AN19" s="109"/>
      <c r="AO19" s="109"/>
      <c r="AP19" s="109"/>
      <c r="AQ19" s="109"/>
      <c r="AR19" s="109"/>
      <c r="AW19" s="30">
        <v>7</v>
      </c>
      <c r="AX19" s="30" t="s">
        <v>87</v>
      </c>
      <c r="AY19" s="179"/>
      <c r="BK19" s="92"/>
      <c r="BN19" s="210"/>
      <c r="BP19" s="16"/>
      <c r="BQ19" s="223"/>
    </row>
    <row r="20" spans="2:69" ht="6" customHeight="1">
      <c r="B20" s="11"/>
      <c r="C20" s="11"/>
      <c r="D20" s="11"/>
      <c r="N20" s="49"/>
      <c r="O20" s="49"/>
      <c r="P20" s="49"/>
      <c r="Q20" s="49"/>
      <c r="R20" s="49"/>
      <c r="S20" s="49"/>
      <c r="T20" s="49"/>
      <c r="U20" s="49"/>
      <c r="V20" s="49"/>
      <c r="W20" s="49"/>
      <c r="X20" s="49"/>
      <c r="Y20" s="49"/>
      <c r="Z20" s="49"/>
      <c r="AA20" s="49"/>
      <c r="AB20" s="49"/>
      <c r="AC20" s="49"/>
      <c r="AK20" s="44"/>
      <c r="AN20" s="20"/>
      <c r="AW20" s="30">
        <v>8</v>
      </c>
      <c r="AX20" s="30" t="s">
        <v>88</v>
      </c>
      <c r="AZ20" s="224"/>
      <c r="BC20" s="174"/>
      <c r="BE20" s="177"/>
      <c r="BF20" s="225"/>
    </row>
    <row r="21" spans="2:69" ht="14.25" customHeight="1">
      <c r="B21" s="11"/>
      <c r="C21" s="11"/>
      <c r="D21" s="11"/>
      <c r="M21" s="10"/>
      <c r="N21" s="252" t="s">
        <v>14</v>
      </c>
      <c r="O21" s="252"/>
      <c r="P21" s="252"/>
      <c r="Q21" s="50"/>
      <c r="R21" s="193" t="s">
        <v>8</v>
      </c>
      <c r="S21" s="51"/>
      <c r="T21" s="44"/>
      <c r="U21" s="49"/>
      <c r="V21" s="49"/>
      <c r="W21" s="49"/>
      <c r="X21" s="49"/>
      <c r="Y21" s="49"/>
      <c r="Z21" s="49"/>
      <c r="AA21" s="49"/>
      <c r="AB21" s="49"/>
      <c r="AC21" s="49"/>
      <c r="AN21" s="20"/>
      <c r="AW21" s="30">
        <v>9</v>
      </c>
      <c r="AX21" s="30" t="s">
        <v>89</v>
      </c>
      <c r="AZ21" s="224"/>
      <c r="BC21" s="174"/>
      <c r="BE21" s="177"/>
      <c r="BF21" s="225"/>
    </row>
    <row r="22" spans="2:69" ht="19.5" customHeight="1">
      <c r="B22" s="11"/>
      <c r="C22" s="11"/>
      <c r="D22" s="11"/>
      <c r="G22" s="5" t="s">
        <v>25</v>
      </c>
      <c r="J22" s="5" t="s">
        <v>16</v>
      </c>
      <c r="N22" s="253">
        <f ca="1">VLOOKUP($AW$9,INDIRECT(VLOOKUP($AW$5,$AW$25:$AX$34,2,FALSE)),3,FALSE)</f>
        <v>150</v>
      </c>
      <c r="O22" s="253"/>
      <c r="P22" s="253"/>
      <c r="Q22" s="42" t="s">
        <v>15</v>
      </c>
      <c r="R22" s="253">
        <f ca="1">VLOOKUP($AW$9,INDIRECT(VLOOKUP($AW$5,$AW$25:$AX$34,2,FALSE)),4,FALSE)</f>
        <v>100</v>
      </c>
      <c r="S22" s="253"/>
      <c r="T22" s="253"/>
      <c r="U22" s="21" t="s">
        <v>106</v>
      </c>
      <c r="AJ22" s="10"/>
      <c r="AK22" s="10"/>
      <c r="AL22" s="10"/>
      <c r="AW22" s="30">
        <v>10</v>
      </c>
      <c r="AX22" s="30" t="s">
        <v>90</v>
      </c>
      <c r="BB22" s="174"/>
    </row>
    <row r="23" spans="2:69" ht="6" customHeight="1" thickBot="1">
      <c r="B23" s="11"/>
      <c r="C23" s="11"/>
      <c r="D23" s="11"/>
      <c r="AV23" s="19"/>
      <c r="AW23" s="177"/>
      <c r="BM23" s="210"/>
    </row>
    <row r="24" spans="2:69" ht="19.5" customHeight="1" thickBot="1">
      <c r="B24" s="11"/>
      <c r="C24" s="11"/>
      <c r="D24" s="11"/>
      <c r="J24" s="5" t="s">
        <v>22</v>
      </c>
      <c r="N24" s="244">
        <v>800</v>
      </c>
      <c r="O24" s="264"/>
      <c r="P24" s="245"/>
      <c r="Q24" s="5" t="s">
        <v>23</v>
      </c>
      <c r="R24" s="240" t="str">
        <f>IF(T24="","","→")</f>
        <v/>
      </c>
      <c r="S24" s="240"/>
      <c r="T24" s="247" t="str">
        <f>IF(MOD(N24,10)&gt;0,ROUNDUP(N24,-1),"")</f>
        <v/>
      </c>
      <c r="U24" s="247"/>
      <c r="V24" s="247"/>
      <c r="W24" s="44" t="str">
        <f>IF(T24="","","㎞")</f>
        <v/>
      </c>
      <c r="X24" s="52"/>
      <c r="Y24" s="53"/>
    </row>
    <row r="25" spans="2:69" ht="14.25" customHeight="1">
      <c r="B25" s="11"/>
      <c r="C25" s="11"/>
      <c r="D25" s="11"/>
      <c r="Q25" s="54" t="str">
        <f>IF(T24="","","１０㎞未満は１０㎞に切り上げとなります。")</f>
        <v/>
      </c>
      <c r="AV25" s="19"/>
      <c r="AW25" s="30">
        <v>1</v>
      </c>
      <c r="AX25" s="30" t="s">
        <v>93</v>
      </c>
    </row>
    <row r="26" spans="2:69" ht="9.75" customHeight="1">
      <c r="B26" s="11"/>
      <c r="C26" s="11"/>
      <c r="D26" s="11"/>
      <c r="AW26" s="30">
        <v>2</v>
      </c>
      <c r="AX26" s="30" t="s">
        <v>94</v>
      </c>
    </row>
    <row r="27" spans="2:69" ht="15" customHeight="1">
      <c r="B27" s="11"/>
      <c r="C27" s="11"/>
      <c r="D27" s="11"/>
      <c r="G27" s="5" t="s">
        <v>37</v>
      </c>
      <c r="J27" s="55"/>
      <c r="K27" s="55"/>
      <c r="M27" s="124"/>
      <c r="N27" s="124"/>
      <c r="O27" s="124"/>
      <c r="P27" s="124"/>
      <c r="Q27" s="124"/>
      <c r="S27" s="124"/>
      <c r="T27" s="124"/>
      <c r="U27" s="124"/>
      <c r="V27" s="124"/>
      <c r="W27" s="124"/>
      <c r="X27" s="124"/>
      <c r="Y27" s="11"/>
      <c r="Z27" s="10" t="s">
        <v>113</v>
      </c>
      <c r="AA27" s="124"/>
      <c r="AB27" s="124"/>
      <c r="AC27" s="124"/>
      <c r="AD27" s="124"/>
      <c r="AE27" s="124"/>
      <c r="AF27" s="124"/>
      <c r="AG27" s="124"/>
      <c r="AH27" s="124"/>
      <c r="AI27" s="124"/>
      <c r="AJ27" s="124"/>
      <c r="AK27" s="124"/>
      <c r="AL27" s="124"/>
      <c r="AM27" s="124"/>
      <c r="AN27" s="124"/>
      <c r="AO27" s="124"/>
      <c r="AP27" s="124"/>
      <c r="AQ27" s="124"/>
      <c r="AR27" s="124"/>
      <c r="AS27" s="124"/>
      <c r="AT27" s="114"/>
      <c r="AU27" s="114"/>
      <c r="AV27" s="26"/>
      <c r="AW27" s="30">
        <v>3</v>
      </c>
      <c r="AX27" s="30" t="s">
        <v>95</v>
      </c>
    </row>
    <row r="28" spans="2:69" ht="15" customHeight="1">
      <c r="B28" s="11"/>
      <c r="C28" s="11"/>
      <c r="D28" s="11"/>
      <c r="AW28" s="30">
        <v>4</v>
      </c>
      <c r="AX28" s="30" t="s">
        <v>96</v>
      </c>
    </row>
    <row r="29" spans="2:69" ht="18" customHeight="1">
      <c r="B29" s="11"/>
      <c r="C29" s="11"/>
      <c r="D29" s="11"/>
      <c r="E29" s="5" t="s">
        <v>38</v>
      </c>
      <c r="I29" s="5" t="s">
        <v>42</v>
      </c>
      <c r="AW29" s="30">
        <v>5</v>
      </c>
      <c r="AX29" s="30" t="s">
        <v>97</v>
      </c>
    </row>
    <row r="30" spans="2:69" ht="15" customHeight="1">
      <c r="B30" s="11"/>
      <c r="C30" s="11"/>
      <c r="D30" s="11"/>
      <c r="K30" s="240" t="s">
        <v>17</v>
      </c>
      <c r="L30" s="240"/>
      <c r="M30" s="240"/>
      <c r="O30" s="5" t="s">
        <v>39</v>
      </c>
      <c r="S30" s="44"/>
      <c r="U30" s="240" t="s">
        <v>16</v>
      </c>
      <c r="V30" s="240"/>
      <c r="W30" s="240"/>
      <c r="Y30" s="240" t="s">
        <v>22</v>
      </c>
      <c r="Z30" s="240"/>
      <c r="AA30" s="240"/>
      <c r="AB30" s="240"/>
      <c r="AW30" s="30">
        <v>6</v>
      </c>
      <c r="AX30" s="30" t="s">
        <v>98</v>
      </c>
    </row>
    <row r="31" spans="2:69">
      <c r="B31" s="11"/>
      <c r="C31" s="11"/>
      <c r="D31" s="11"/>
      <c r="J31" s="114" t="s">
        <v>40</v>
      </c>
      <c r="K31" s="246">
        <f ca="1">N9</f>
        <v>6480</v>
      </c>
      <c r="L31" s="246"/>
      <c r="M31" s="246"/>
      <c r="N31" s="111" t="s">
        <v>18</v>
      </c>
      <c r="O31" s="239">
        <f>+AC18</f>
        <v>17</v>
      </c>
      <c r="P31" s="239"/>
      <c r="Q31" s="239"/>
      <c r="R31" s="184" t="s">
        <v>41</v>
      </c>
      <c r="S31" s="111" t="s">
        <v>19</v>
      </c>
      <c r="T31" s="116" t="s">
        <v>40</v>
      </c>
      <c r="U31" s="246">
        <f ca="1">N22</f>
        <v>150</v>
      </c>
      <c r="V31" s="246"/>
      <c r="W31" s="246"/>
      <c r="X31" s="111" t="s">
        <v>18</v>
      </c>
      <c r="Y31" s="256">
        <f>IF($T$24="",$N$24,$T$24)</f>
        <v>800</v>
      </c>
      <c r="Z31" s="256"/>
      <c r="AA31" s="256"/>
      <c r="AB31" s="256"/>
      <c r="AC31" s="5" t="s">
        <v>41</v>
      </c>
      <c r="AD31" s="5" t="s">
        <v>21</v>
      </c>
      <c r="AF31" s="246">
        <f ca="1">IF(OR($AC$18=0,$N$24=""),"",ROUND(+K31*O31,0)+ROUND(U31*Y31,0))</f>
        <v>230160</v>
      </c>
      <c r="AG31" s="246"/>
      <c r="AH31" s="246"/>
      <c r="AI31" s="246"/>
      <c r="AJ31" s="246"/>
      <c r="AK31" s="246"/>
      <c r="AL31" s="10" t="s">
        <v>114</v>
      </c>
      <c r="AW31" s="30">
        <v>7</v>
      </c>
      <c r="AX31" s="30" t="s">
        <v>99</v>
      </c>
    </row>
    <row r="32" spans="2:69" ht="7.5" customHeight="1">
      <c r="B32" s="11"/>
      <c r="C32" s="11"/>
      <c r="D32" s="11"/>
      <c r="AW32" s="30">
        <v>8</v>
      </c>
      <c r="AX32" s="30" t="s">
        <v>100</v>
      </c>
    </row>
    <row r="33" spans="2:64">
      <c r="B33" s="11"/>
      <c r="C33" s="11"/>
      <c r="D33" s="11"/>
      <c r="J33" s="114" t="s">
        <v>40</v>
      </c>
      <c r="K33" s="246">
        <f ca="1">R9</f>
        <v>4490</v>
      </c>
      <c r="L33" s="246"/>
      <c r="M33" s="246"/>
      <c r="N33" s="111" t="s">
        <v>18</v>
      </c>
      <c r="O33" s="239">
        <f>+AC18</f>
        <v>17</v>
      </c>
      <c r="P33" s="239"/>
      <c r="Q33" s="239"/>
      <c r="R33" s="184" t="s">
        <v>41</v>
      </c>
      <c r="S33" s="111" t="s">
        <v>19</v>
      </c>
      <c r="T33" s="116" t="s">
        <v>40</v>
      </c>
      <c r="U33" s="246">
        <f ca="1">+R22</f>
        <v>100</v>
      </c>
      <c r="V33" s="246"/>
      <c r="W33" s="246"/>
      <c r="X33" s="111" t="s">
        <v>18</v>
      </c>
      <c r="Y33" s="256">
        <f>IF($T$24="",$N$24,$T$24)</f>
        <v>800</v>
      </c>
      <c r="Z33" s="256"/>
      <c r="AA33" s="256"/>
      <c r="AB33" s="256"/>
      <c r="AC33" s="5" t="s">
        <v>41</v>
      </c>
      <c r="AD33" s="5" t="s">
        <v>21</v>
      </c>
      <c r="AF33" s="246">
        <f ca="1">IF(OR(,$AC$18=0,,$N$24=""),"",ROUND(+K33*O33,0)+ROUND(U33*Y33,0))</f>
        <v>156330</v>
      </c>
      <c r="AG33" s="246"/>
      <c r="AH33" s="246"/>
      <c r="AI33" s="246"/>
      <c r="AJ33" s="246"/>
      <c r="AK33" s="246"/>
      <c r="AL33" s="10" t="s">
        <v>115</v>
      </c>
      <c r="AU33" s="111"/>
      <c r="AW33" s="30">
        <v>9</v>
      </c>
      <c r="AX33" s="30" t="s">
        <v>101</v>
      </c>
    </row>
    <row r="34" spans="2:64" ht="7.5" customHeight="1">
      <c r="AT34" s="111"/>
      <c r="AU34" s="111"/>
      <c r="AV34" s="130"/>
      <c r="AW34" s="30">
        <v>10</v>
      </c>
      <c r="AX34" s="30" t="s">
        <v>102</v>
      </c>
      <c r="AY34" s="174"/>
      <c r="BD34" s="174"/>
      <c r="BE34" s="174"/>
      <c r="BF34" s="174"/>
      <c r="BG34" s="174"/>
      <c r="BH34" s="174"/>
      <c r="BI34" s="174"/>
    </row>
    <row r="35" spans="2:64" ht="13.5" customHeight="1">
      <c r="B35" s="11"/>
      <c r="C35" s="11"/>
      <c r="D35" s="11"/>
      <c r="I35" s="261" t="str">
        <f>IF($AW$36=1,"","割引額")</f>
        <v/>
      </c>
      <c r="J35" s="261"/>
      <c r="K35" s="261"/>
      <c r="L35" s="240" t="str">
        <f>IF($AW$36=1,"","運賃額")</f>
        <v/>
      </c>
      <c r="M35" s="240"/>
      <c r="N35" s="240"/>
      <c r="O35" s="240"/>
      <c r="P35" s="56"/>
      <c r="Q35" s="262" t="str">
        <f>IF($AW$36=1,"","割引率")</f>
        <v/>
      </c>
      <c r="R35" s="262"/>
      <c r="S35" s="262"/>
      <c r="T35" s="262"/>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124"/>
      <c r="AS35" s="56"/>
      <c r="AT35" s="56"/>
    </row>
    <row r="36" spans="2:64" ht="13.5" customHeight="1">
      <c r="B36" s="11"/>
      <c r="C36" s="11"/>
      <c r="D36" s="11"/>
      <c r="I36" s="261"/>
      <c r="J36" s="261"/>
      <c r="K36" s="261"/>
      <c r="L36" s="246" t="str">
        <f>IF($AW$36=1,"",+$AF$31)</f>
        <v/>
      </c>
      <c r="M36" s="246"/>
      <c r="N36" s="246"/>
      <c r="O36" s="246"/>
      <c r="P36" s="111" t="str">
        <f>IF($AW$36=1,"","×")</f>
        <v/>
      </c>
      <c r="Q36" s="257" t="str">
        <f>IF($AW$36=1,"",IF($AW$36=2,0.3,IF($AW$36=3,0.2,0)))</f>
        <v/>
      </c>
      <c r="R36" s="257"/>
      <c r="S36" s="257"/>
      <c r="T36" s="257"/>
      <c r="U36" s="5" t="str">
        <f>IF($AW$36=1,"","=")</f>
        <v/>
      </c>
      <c r="V36" s="246" t="str">
        <f>IF($AW$36=1,"",IF($AF$31="","",ROUND($L$36*$Q$36,0)))</f>
        <v/>
      </c>
      <c r="W36" s="246"/>
      <c r="X36" s="246"/>
      <c r="Y36" s="246"/>
      <c r="Z36" s="246"/>
      <c r="AB36" s="56"/>
      <c r="AC36" s="56"/>
      <c r="AD36" s="56"/>
      <c r="AE36" s="56"/>
      <c r="AF36" s="56"/>
      <c r="AG36" s="56"/>
      <c r="AH36" s="56"/>
      <c r="AI36" s="56"/>
      <c r="AJ36" s="56"/>
      <c r="AK36" s="56"/>
      <c r="AL36" s="56"/>
      <c r="AM36" s="56"/>
      <c r="AN36" s="56"/>
      <c r="AO36" s="56"/>
      <c r="AP36" s="56"/>
      <c r="AQ36" s="56"/>
      <c r="AR36" s="124"/>
      <c r="AS36" s="56"/>
      <c r="AT36" s="56"/>
      <c r="AW36" s="180">
        <v>1</v>
      </c>
    </row>
    <row r="37" spans="2:64" ht="8.25" customHeight="1">
      <c r="B37" s="11"/>
      <c r="C37" s="11"/>
      <c r="D37" s="11"/>
      <c r="I37" s="44"/>
      <c r="J37" s="44"/>
      <c r="K37" s="44"/>
      <c r="L37" s="246"/>
      <c r="M37" s="246"/>
      <c r="N37" s="246"/>
      <c r="O37" s="246"/>
      <c r="P37" s="111"/>
      <c r="Q37" s="257"/>
      <c r="R37" s="257"/>
      <c r="S37" s="257"/>
      <c r="T37" s="257"/>
      <c r="V37" s="246"/>
      <c r="W37" s="246"/>
      <c r="X37" s="246"/>
      <c r="Y37" s="246"/>
      <c r="Z37" s="246"/>
      <c r="AA37" s="56"/>
      <c r="AB37" s="56"/>
      <c r="AC37" s="56"/>
      <c r="AD37" s="56"/>
      <c r="AE37" s="56"/>
      <c r="AF37" s="56"/>
      <c r="AG37" s="56"/>
      <c r="AH37" s="56"/>
      <c r="AI37" s="56"/>
      <c r="AJ37" s="56"/>
      <c r="AK37" s="56"/>
      <c r="AL37" s="56"/>
      <c r="AM37" s="56"/>
      <c r="AN37" s="56"/>
      <c r="AO37" s="56"/>
      <c r="AP37" s="56"/>
      <c r="AQ37" s="56"/>
      <c r="AR37" s="124"/>
      <c r="AS37" s="56"/>
      <c r="AT37" s="56"/>
      <c r="AW37" s="180"/>
    </row>
    <row r="38" spans="2:64">
      <c r="I38" s="5" t="str">
        <f>IF($AW$36=1,"","割引後運賃額")</f>
        <v/>
      </c>
      <c r="O38" s="44" t="str">
        <f>IF($AW$36=1,"","時間制＋キロ制運賃額")</f>
        <v/>
      </c>
      <c r="P38" s="44"/>
      <c r="Q38" s="44"/>
      <c r="S38" s="44"/>
      <c r="T38" s="44"/>
      <c r="U38" s="44"/>
      <c r="V38" s="44"/>
      <c r="W38" s="111" t="str">
        <f>IF($AW$36=1,"","－")</f>
        <v/>
      </c>
      <c r="X38" s="44" t="str">
        <f>IF($AW$36=1,"","割引額")</f>
        <v/>
      </c>
      <c r="Y38" s="44"/>
      <c r="Z38" s="44"/>
      <c r="AA38" s="5" t="str">
        <f>IF($AW$36=1,"","＝")</f>
        <v/>
      </c>
      <c r="AB38" s="246" t="str">
        <f>IF($AW$36=1,"",(IF(AF31-V36&gt;AF33,AF31-V36,AF33)))</f>
        <v/>
      </c>
      <c r="AC38" s="246"/>
      <c r="AD38" s="246"/>
      <c r="AE38" s="246"/>
      <c r="AF38" s="246"/>
      <c r="AG38" s="246"/>
      <c r="AH38" s="10" t="str">
        <f>IF($AW$36=1,"","上限額①´")</f>
        <v/>
      </c>
      <c r="AI38" s="10"/>
      <c r="BL38" s="226"/>
    </row>
    <row r="39" spans="2:64">
      <c r="O39" s="44"/>
      <c r="P39" s="44"/>
      <c r="Q39" s="44"/>
      <c r="S39" s="44"/>
      <c r="T39" s="44"/>
      <c r="U39" s="44"/>
      <c r="V39" s="44"/>
      <c r="W39" s="111"/>
      <c r="X39" s="44"/>
      <c r="Y39" s="44"/>
      <c r="Z39" s="44"/>
      <c r="AB39" s="24" t="str">
        <f>IF($AW$36=1,"","※割引は下限額を限度とします")</f>
        <v/>
      </c>
      <c r="AC39" s="117"/>
      <c r="AD39" s="117"/>
      <c r="AE39" s="117"/>
      <c r="AF39" s="117"/>
      <c r="AG39" s="117"/>
      <c r="AH39" s="10"/>
      <c r="AI39" s="10"/>
      <c r="BL39" s="226"/>
    </row>
    <row r="40" spans="2:64">
      <c r="D40" s="21"/>
      <c r="E40" s="21"/>
      <c r="F40" s="21"/>
      <c r="G40" s="21"/>
      <c r="H40" s="21"/>
      <c r="I40" s="21"/>
      <c r="J40" s="21"/>
      <c r="K40" s="21"/>
      <c r="M40" s="125"/>
      <c r="N40" s="125"/>
      <c r="O40" s="125"/>
      <c r="P40" s="125"/>
      <c r="Q40" s="125"/>
      <c r="R40" s="19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30"/>
      <c r="AW40" s="174"/>
    </row>
    <row r="41" spans="2:64" ht="21">
      <c r="B41" s="57" t="s">
        <v>46</v>
      </c>
      <c r="E41" s="5" t="s">
        <v>28</v>
      </c>
      <c r="I41" s="10" t="str">
        <f>IF($AQ$18=0,"","深夜早朝時間が発生しています")</f>
        <v>深夜早朝時間が発生しています</v>
      </c>
      <c r="K41" s="3"/>
    </row>
    <row r="42" spans="2:64" ht="21">
      <c r="B42" s="57"/>
      <c r="I42" s="10"/>
      <c r="K42" s="3"/>
      <c r="M42" s="5" t="str">
        <f>IF($AQ$18=0,"","上限")</f>
        <v>上限</v>
      </c>
      <c r="Q42" s="5" t="str">
        <f>IF($AQ$18=0,"","下限")</f>
        <v>下限</v>
      </c>
    </row>
    <row r="43" spans="2:64" ht="20.25" customHeight="1">
      <c r="J43" s="5" t="str">
        <f>IF($AQ$18=0,"","割増率")</f>
        <v>割増率</v>
      </c>
      <c r="M43" s="258">
        <v>20</v>
      </c>
      <c r="N43" s="258"/>
      <c r="O43" s="3" t="str">
        <f>IF($AQ$18=0,"","％")</f>
        <v>％</v>
      </c>
      <c r="P43" s="202" t="str">
        <f>IF($AQ$18=0,"","～")</f>
        <v>～</v>
      </c>
      <c r="Q43" s="258">
        <v>0</v>
      </c>
      <c r="R43" s="258"/>
      <c r="S43" s="3" t="str">
        <f>IF($AQ$18=0,"","％")</f>
        <v>％</v>
      </c>
      <c r="T43" s="46"/>
      <c r="U43" s="46"/>
      <c r="V43" s="46"/>
      <c r="W43" s="3"/>
      <c r="Z43" s="1"/>
      <c r="AA43" s="1"/>
      <c r="AB43" s="1"/>
      <c r="AC43" s="1"/>
      <c r="AD43" s="1"/>
      <c r="AE43" s="1"/>
      <c r="AF43" s="1"/>
      <c r="AG43" s="1"/>
      <c r="AH43" s="1"/>
      <c r="AI43" s="1"/>
      <c r="AJ43" s="1"/>
      <c r="AK43" s="1"/>
      <c r="AL43" s="1"/>
      <c r="AM43" s="1"/>
      <c r="AN43" s="1"/>
      <c r="AO43" s="1"/>
      <c r="AP43" s="1"/>
      <c r="AQ43" s="1"/>
      <c r="AR43" s="1"/>
      <c r="AS43" s="1"/>
      <c r="AT43" s="1"/>
      <c r="AU43" s="1"/>
      <c r="AV43" s="25"/>
      <c r="AW43" s="178"/>
      <c r="AX43" s="178"/>
      <c r="AY43" s="178"/>
    </row>
    <row r="44" spans="2:64">
      <c r="J44" s="10"/>
      <c r="K44" s="10"/>
      <c r="L44" s="10"/>
      <c r="M44" s="10"/>
      <c r="N44" s="10"/>
      <c r="O44" s="10"/>
      <c r="P44" s="10"/>
      <c r="Q44" s="10"/>
      <c r="R44" s="197"/>
      <c r="S44" s="10"/>
      <c r="T44" s="10"/>
      <c r="U44" s="10"/>
      <c r="V44" s="10"/>
      <c r="W44" s="10"/>
      <c r="AB44" s="240"/>
      <c r="AC44" s="240"/>
      <c r="AD44" s="240"/>
      <c r="AE44" s="240"/>
      <c r="AF44" s="44"/>
      <c r="AG44" s="240"/>
      <c r="AH44" s="240"/>
      <c r="AJ44" s="240"/>
      <c r="AK44" s="240"/>
      <c r="AL44" s="240"/>
      <c r="AM44" s="240"/>
      <c r="AN44" s="240"/>
      <c r="AV44" s="121"/>
      <c r="AW44" s="227"/>
      <c r="AX44" s="227"/>
      <c r="AY44" s="178"/>
      <c r="AZ44" s="178"/>
    </row>
    <row r="45" spans="2:64" ht="20.25" customHeight="1">
      <c r="D45" s="5" t="str">
        <f>IF($AQ$18=0,"","[上限20%]")</f>
        <v>[上限20%]</v>
      </c>
      <c r="M45" s="123"/>
      <c r="N45" s="123"/>
      <c r="O45" s="5" t="str">
        <f>IF($AQ$18=0,"","時間単価")</f>
        <v>時間単価</v>
      </c>
      <c r="P45" s="58"/>
      <c r="Q45" s="10"/>
      <c r="R45" s="204"/>
      <c r="S45" s="3" t="str">
        <f>IF($AQ$18=0,"","割増率")</f>
        <v>割増率</v>
      </c>
      <c r="T45" s="46"/>
      <c r="U45" s="46"/>
      <c r="V45" s="46"/>
      <c r="W45" s="3" t="str">
        <f>IF($AQ$18=0,"","深夜早朝時間計")</f>
        <v>深夜早朝時間計</v>
      </c>
      <c r="AB45" s="111"/>
      <c r="AC45" s="111"/>
      <c r="AD45" s="111"/>
      <c r="AE45" s="111"/>
      <c r="AF45" s="44"/>
      <c r="AG45" s="111"/>
      <c r="AH45" s="111"/>
      <c r="AJ45" s="111"/>
      <c r="AK45" s="111"/>
      <c r="AL45" s="111"/>
      <c r="AM45" s="111"/>
      <c r="AN45" s="111"/>
      <c r="AV45" s="121"/>
      <c r="AW45" s="227"/>
      <c r="AX45" s="227"/>
      <c r="AY45" s="178"/>
      <c r="AZ45" s="178"/>
    </row>
    <row r="46" spans="2:64" ht="18.75" customHeight="1">
      <c r="H46" s="240" t="str">
        <f>IF($AQ$18=0,"","(運    賃)")</f>
        <v>(運    賃)</v>
      </c>
      <c r="I46" s="240"/>
      <c r="J46" s="240"/>
      <c r="K46" s="10" t="str">
        <f>IF($AQ$18=0,"","(上限額)")</f>
        <v>(上限額)</v>
      </c>
      <c r="N46" s="246">
        <f ca="1">IF($AQ$18=0,"",N9)</f>
        <v>6480</v>
      </c>
      <c r="O46" s="246"/>
      <c r="P46" s="246"/>
      <c r="Q46" s="246"/>
      <c r="R46" s="184" t="str">
        <f>IF($AQ$18=0,"","×")</f>
        <v>×</v>
      </c>
      <c r="S46" s="257">
        <f>IF($AQ$18=0,"",IF($M$43="","",+$M$43/100))</f>
        <v>0.2</v>
      </c>
      <c r="T46" s="257"/>
      <c r="U46" s="111" t="str">
        <f>IF($AQ$18=0,"","×")</f>
        <v>×</v>
      </c>
      <c r="V46" s="239">
        <f>IF($AQ$18=0,"",$AQ$18)</f>
        <v>2</v>
      </c>
      <c r="W46" s="239"/>
      <c r="X46" s="239"/>
      <c r="Y46" s="239"/>
      <c r="Z46" s="239"/>
      <c r="AA46" s="111" t="str">
        <f>IF($AQ$18=0,"","＝")</f>
        <v>＝</v>
      </c>
      <c r="AB46" s="260">
        <f ca="1">IF($AQ$18=0,"",IF(M43="","",ROUND(N46*S46*V46,0)))</f>
        <v>2592</v>
      </c>
      <c r="AC46" s="260"/>
      <c r="AD46" s="260"/>
      <c r="AE46" s="260"/>
      <c r="AF46" s="260"/>
      <c r="AJ46" s="59"/>
      <c r="AK46" s="59"/>
      <c r="AL46" s="59"/>
    </row>
    <row r="47" spans="2:64" ht="5.25" hidden="1" customHeight="1">
      <c r="H47" s="124"/>
      <c r="N47" s="117"/>
      <c r="O47" s="117"/>
      <c r="P47" s="117"/>
      <c r="Q47" s="117"/>
      <c r="S47" s="118"/>
      <c r="T47" s="118"/>
      <c r="U47" s="44"/>
      <c r="V47" s="120"/>
      <c r="W47" s="120"/>
      <c r="X47" s="120"/>
      <c r="Y47" s="120"/>
      <c r="Z47" s="120"/>
      <c r="AB47" s="60"/>
      <c r="AC47" s="60"/>
      <c r="AD47" s="60"/>
      <c r="AE47" s="60"/>
      <c r="AF47" s="60"/>
      <c r="AH47" s="18"/>
      <c r="AI47" s="18"/>
      <c r="AJ47" s="18"/>
      <c r="AK47" s="1"/>
      <c r="AL47" s="1"/>
      <c r="AN47" s="59"/>
    </row>
    <row r="48" spans="2:64" ht="13.5" customHeight="1">
      <c r="D48" s="240" t="str">
        <f>IF($AQ$18=0,"",IF($AW$87=FALSE,"","(交替運転者配置料金)"))</f>
        <v>(交替運転者配置料金)</v>
      </c>
      <c r="E48" s="240"/>
      <c r="F48" s="240"/>
      <c r="G48" s="240"/>
      <c r="H48" s="240"/>
      <c r="I48" s="240"/>
      <c r="J48" s="240"/>
      <c r="K48" s="40" t="str">
        <f>IF($AQ$18=0,"",IF($AW$87=FALSE,"","(上限額)"))</f>
        <v>(上限額)</v>
      </c>
      <c r="L48" s="44"/>
      <c r="M48" s="44"/>
      <c r="N48" s="246">
        <f ca="1">IF($AQ$18=0,"",IF($AW$87=FALSE,"",M91))</f>
        <v>3080</v>
      </c>
      <c r="O48" s="246"/>
      <c r="P48" s="246"/>
      <c r="Q48" s="246"/>
      <c r="R48" s="184" t="str">
        <f>IF($AQ$18=0,"",IF($AW$87=FALSE,"","×"))</f>
        <v>×</v>
      </c>
      <c r="S48" s="248">
        <f>IF($AQ$18=0,"",IF($AW$87=FALSE,"",IF(M43="","",$M$43/100)))</f>
        <v>0.2</v>
      </c>
      <c r="T48" s="248"/>
      <c r="U48" s="111" t="str">
        <f>IF($AQ$18=0,"",IF($AW$87=FALSE,"","×"))</f>
        <v>×</v>
      </c>
      <c r="V48" s="239">
        <f>IF($AQ$18=0,"",IF($AW$87=FALSE,"",$AQ$18))</f>
        <v>2</v>
      </c>
      <c r="W48" s="239"/>
      <c r="X48" s="239"/>
      <c r="Y48" s="239"/>
      <c r="Z48" s="239"/>
      <c r="AA48" s="111" t="str">
        <f>IF($AQ$18=0,"",IF($AW$87=FALSE,"","＝"))</f>
        <v>＝</v>
      </c>
      <c r="AB48" s="260">
        <f ca="1">IF($AQ$18=0,"",IF($AW$87=FALSE,"",IF(M43="","",ROUND(N48*S48*V48,0))))</f>
        <v>1232</v>
      </c>
      <c r="AC48" s="260"/>
      <c r="AD48" s="260"/>
      <c r="AE48" s="260"/>
      <c r="AF48" s="260"/>
      <c r="AH48" s="18" t="str">
        <f>IF($AQ$18=0,"","計")</f>
        <v>計</v>
      </c>
      <c r="AI48" s="260">
        <f ca="1">IF(AQ18=0,"",IF($AW$87=TRUE,AB46+AB48,AB46))</f>
        <v>3824</v>
      </c>
      <c r="AJ48" s="260"/>
      <c r="AK48" s="260"/>
      <c r="AL48" s="260"/>
      <c r="AM48" s="260"/>
      <c r="AN48" s="40" t="s">
        <v>133</v>
      </c>
      <c r="AV48" s="121"/>
    </row>
    <row r="49" spans="2:48" ht="13.5" customHeight="1">
      <c r="D49" s="184"/>
      <c r="E49" s="184"/>
      <c r="F49" s="184"/>
      <c r="G49" s="184"/>
      <c r="H49" s="184"/>
      <c r="I49" s="184"/>
      <c r="J49" s="184"/>
      <c r="K49" s="40"/>
      <c r="L49" s="44"/>
      <c r="M49" s="44"/>
      <c r="N49" s="187"/>
      <c r="O49" s="187"/>
      <c r="P49" s="187"/>
      <c r="Q49" s="187"/>
      <c r="S49" s="190"/>
      <c r="T49" s="190"/>
      <c r="U49" s="184"/>
      <c r="V49" s="186"/>
      <c r="W49" s="186"/>
      <c r="X49" s="186"/>
      <c r="Y49" s="186"/>
      <c r="Z49" s="186"/>
      <c r="AA49" s="184"/>
      <c r="AB49" s="188"/>
      <c r="AC49" s="188"/>
      <c r="AD49" s="188"/>
      <c r="AE49" s="188"/>
      <c r="AF49" s="188"/>
      <c r="AH49" s="203"/>
      <c r="AI49" s="188"/>
      <c r="AJ49" s="188"/>
      <c r="AK49" s="188"/>
      <c r="AL49" s="188"/>
      <c r="AM49" s="188"/>
      <c r="AN49" s="40"/>
      <c r="AO49" s="40"/>
      <c r="AP49" s="40"/>
      <c r="AV49" s="189"/>
    </row>
    <row r="50" spans="2:48" ht="19.5" customHeight="1">
      <c r="H50" s="124"/>
      <c r="N50" s="246"/>
      <c r="O50" s="246"/>
      <c r="P50" s="246"/>
      <c r="Q50" s="246"/>
      <c r="S50" s="246"/>
      <c r="T50" s="246"/>
      <c r="U50" s="44"/>
      <c r="V50" s="239"/>
      <c r="W50" s="239"/>
      <c r="X50" s="239"/>
      <c r="Y50" s="239"/>
      <c r="Z50" s="239"/>
      <c r="AB50" s="277"/>
      <c r="AC50" s="277"/>
      <c r="AD50" s="277"/>
      <c r="AE50" s="277"/>
      <c r="AF50" s="277"/>
    </row>
    <row r="51" spans="2:48">
      <c r="H51" s="194"/>
      <c r="N51" s="187"/>
      <c r="O51" s="187"/>
      <c r="P51" s="187"/>
      <c r="Q51" s="187"/>
      <c r="S51" s="190"/>
      <c r="T51" s="190"/>
      <c r="U51" s="44"/>
      <c r="V51" s="186"/>
      <c r="W51" s="186"/>
      <c r="X51" s="186"/>
      <c r="Y51" s="186"/>
      <c r="Z51" s="186"/>
      <c r="AB51" s="60"/>
      <c r="AC51" s="60"/>
      <c r="AD51" s="60"/>
      <c r="AE51" s="60"/>
      <c r="AF51" s="60"/>
      <c r="AH51" s="18"/>
      <c r="AI51" s="62"/>
      <c r="AJ51" s="62"/>
      <c r="AK51" s="62"/>
      <c r="AL51" s="62"/>
      <c r="AM51" s="62"/>
      <c r="AN51" s="63"/>
    </row>
    <row r="52" spans="2:48">
      <c r="H52" s="240" t="str">
        <f>IF($AQ$18=0,"","(運    賃)")</f>
        <v>(運    賃)</v>
      </c>
      <c r="I52" s="240"/>
      <c r="J52" s="240"/>
      <c r="K52" s="10" t="str">
        <f>IF($AQ$18=0,"","(下限額)")</f>
        <v>(下限額)</v>
      </c>
      <c r="N52" s="246">
        <f ca="1">IF($AQ$18=0,"",R9)</f>
        <v>4490</v>
      </c>
      <c r="O52" s="246"/>
      <c r="P52" s="246"/>
      <c r="Q52" s="246"/>
      <c r="R52" s="184" t="str">
        <f>IF($AQ$18=0,"","×")</f>
        <v>×</v>
      </c>
      <c r="S52" s="248">
        <f>IF($AQ$18=0,"",IF($M$43="","",+$M$43/100))</f>
        <v>0.2</v>
      </c>
      <c r="T52" s="248"/>
      <c r="U52" s="111" t="str">
        <f>IF($AQ$18=0,"","×")</f>
        <v>×</v>
      </c>
      <c r="V52" s="239">
        <f>IF($AQ$18=0,"",$AQ$18)</f>
        <v>2</v>
      </c>
      <c r="W52" s="239"/>
      <c r="X52" s="239"/>
      <c r="Y52" s="239"/>
      <c r="Z52" s="239"/>
      <c r="AA52" s="111" t="str">
        <f>IF($AQ$18=0,"","＝")</f>
        <v>＝</v>
      </c>
      <c r="AB52" s="260">
        <f ca="1">IF($AQ$18=0,"",IF(M43="","",ROUND(N52*S52*V52,0)))</f>
        <v>1796</v>
      </c>
      <c r="AC52" s="260"/>
      <c r="AD52" s="260"/>
      <c r="AE52" s="260"/>
      <c r="AF52" s="260"/>
    </row>
    <row r="53" spans="2:48" ht="6.75" customHeight="1">
      <c r="H53" s="124"/>
      <c r="N53" s="117"/>
      <c r="O53" s="117"/>
      <c r="P53" s="117"/>
      <c r="Q53" s="117"/>
      <c r="S53" s="118"/>
      <c r="T53" s="118"/>
      <c r="U53" s="44"/>
      <c r="V53" s="120"/>
      <c r="W53" s="120"/>
      <c r="X53" s="120"/>
      <c r="Y53" s="120"/>
      <c r="Z53" s="120"/>
      <c r="AB53" s="60"/>
      <c r="AC53" s="60"/>
      <c r="AD53" s="60"/>
      <c r="AE53" s="60"/>
      <c r="AF53" s="60"/>
      <c r="AH53" s="18"/>
      <c r="AI53" s="62"/>
      <c r="AJ53" s="62"/>
      <c r="AK53" s="62"/>
      <c r="AL53" s="62"/>
      <c r="AM53" s="62"/>
      <c r="AN53" s="59"/>
    </row>
    <row r="54" spans="2:48" ht="13.5" customHeight="1">
      <c r="D54" s="240" t="str">
        <f>IF($AQ$18=0,"",IF($AW$87=FALSE,"","(交替運転者配置料金)"))</f>
        <v>(交替運転者配置料金)</v>
      </c>
      <c r="E54" s="240"/>
      <c r="F54" s="240"/>
      <c r="G54" s="240"/>
      <c r="H54" s="240"/>
      <c r="I54" s="240"/>
      <c r="J54" s="240"/>
      <c r="K54" s="40" t="str">
        <f>IF($AQ$18=0,"",IF($AW$87=FALSE,"","(下限額)"))</f>
        <v>(下限額)</v>
      </c>
      <c r="M54" s="44"/>
      <c r="N54" s="246">
        <f ca="1">IF($AQ$18=0,"",IF($AW$87=FALSE,"",Q91))</f>
        <v>2130</v>
      </c>
      <c r="O54" s="246"/>
      <c r="P54" s="246"/>
      <c r="Q54" s="246"/>
      <c r="R54" s="184" t="str">
        <f>IF($AQ$18=0,"",IF($AW$87=FALSE,"","×"))</f>
        <v>×</v>
      </c>
      <c r="S54" s="248">
        <f>IF($AQ$18=0,"",IF($AW$87=FALSE,"",IF(M43="","",$M$43/100)))</f>
        <v>0.2</v>
      </c>
      <c r="T54" s="248"/>
      <c r="U54" s="111" t="str">
        <f>IF($AQ$18=0,"",IF($AW$87=FALSE,"","×"))</f>
        <v>×</v>
      </c>
      <c r="V54" s="239">
        <f>IF($AQ$18=0,"",IF($AW$87=FALSE,"",$AQ$18))</f>
        <v>2</v>
      </c>
      <c r="W54" s="239"/>
      <c r="X54" s="239"/>
      <c r="Y54" s="239"/>
      <c r="Z54" s="239"/>
      <c r="AA54" s="111" t="str">
        <f>IF($AQ$18=0,"","＝")</f>
        <v>＝</v>
      </c>
      <c r="AB54" s="260">
        <f ca="1">IF($AQ$18=0,"",IF($AW$87=FALSE,"",IF(M43="","",ROUND(N54*S54*V54,0))))</f>
        <v>852</v>
      </c>
      <c r="AC54" s="260"/>
      <c r="AD54" s="260"/>
      <c r="AE54" s="260"/>
      <c r="AF54" s="260"/>
      <c r="AH54" s="123" t="str">
        <f>IF($AQ$18=0,"","計")</f>
        <v>計</v>
      </c>
      <c r="AI54" s="260">
        <f ca="1">IF(AQ18=0,"",IF($AW$87=TRUE,AB52+AB54,AB52))</f>
        <v>2648</v>
      </c>
      <c r="AJ54" s="260"/>
      <c r="AK54" s="260"/>
      <c r="AL54" s="260"/>
      <c r="AM54" s="260"/>
      <c r="AN54" s="40" t="s">
        <v>134</v>
      </c>
      <c r="AO54" s="40"/>
      <c r="AP54" s="40"/>
      <c r="AV54" s="121"/>
    </row>
    <row r="55" spans="2:48" ht="13.5" customHeight="1">
      <c r="D55" s="184"/>
      <c r="E55" s="184"/>
      <c r="F55" s="184"/>
      <c r="G55" s="184"/>
      <c r="H55" s="184"/>
      <c r="I55" s="184"/>
      <c r="J55" s="184"/>
      <c r="K55" s="40"/>
      <c r="M55" s="44"/>
      <c r="N55" s="187"/>
      <c r="O55" s="187"/>
      <c r="P55" s="187"/>
      <c r="Q55" s="187"/>
      <c r="S55" s="190"/>
      <c r="T55" s="190"/>
      <c r="U55" s="184"/>
      <c r="V55" s="186"/>
      <c r="W55" s="186"/>
      <c r="X55" s="186"/>
      <c r="Y55" s="186"/>
      <c r="Z55" s="186"/>
      <c r="AA55" s="184"/>
      <c r="AB55" s="188"/>
      <c r="AC55" s="188"/>
      <c r="AD55" s="188"/>
      <c r="AE55" s="188"/>
      <c r="AF55" s="188"/>
      <c r="AH55" s="11"/>
      <c r="AI55" s="11"/>
      <c r="AJ55" s="11"/>
      <c r="AK55" s="11"/>
      <c r="AL55" s="11"/>
      <c r="AM55" s="11"/>
      <c r="AN55" s="11"/>
      <c r="AO55" s="11"/>
      <c r="AP55" s="11"/>
      <c r="AV55" s="189"/>
    </row>
    <row r="56" spans="2:48" ht="13.5" customHeight="1">
      <c r="D56" s="184"/>
      <c r="E56" s="184"/>
      <c r="F56" s="184"/>
      <c r="G56" s="184"/>
      <c r="H56" s="184"/>
      <c r="I56" s="184"/>
      <c r="J56" s="184"/>
      <c r="K56" s="40"/>
      <c r="M56" s="44"/>
      <c r="N56" s="246"/>
      <c r="O56" s="246"/>
      <c r="P56" s="246"/>
      <c r="Q56" s="246"/>
      <c r="S56" s="246"/>
      <c r="T56" s="246"/>
      <c r="U56" s="184"/>
      <c r="V56" s="239"/>
      <c r="W56" s="239"/>
      <c r="X56" s="239"/>
      <c r="Y56" s="239"/>
      <c r="Z56" s="239"/>
      <c r="AA56" s="184"/>
      <c r="AB56" s="260"/>
      <c r="AC56" s="260"/>
      <c r="AD56" s="260"/>
      <c r="AE56" s="260"/>
      <c r="AF56" s="260"/>
      <c r="AG56" s="62"/>
      <c r="AV56" s="189"/>
    </row>
    <row r="57" spans="2:48" ht="13.5" customHeight="1">
      <c r="B57" s="189"/>
      <c r="C57" s="189"/>
      <c r="D57" s="189"/>
      <c r="F57" s="189"/>
      <c r="G57" s="184"/>
      <c r="H57" s="184"/>
      <c r="I57" s="184"/>
      <c r="J57" s="184"/>
      <c r="K57" s="40"/>
      <c r="M57" s="44"/>
      <c r="N57" s="187"/>
      <c r="O57" s="187"/>
      <c r="P57" s="187"/>
      <c r="Q57" s="187"/>
      <c r="S57" s="201"/>
      <c r="T57" s="190"/>
      <c r="U57" s="184"/>
      <c r="V57" s="186"/>
      <c r="W57" s="186"/>
      <c r="X57" s="186"/>
      <c r="Y57" s="186"/>
      <c r="Z57" s="186"/>
      <c r="AA57" s="184"/>
      <c r="AB57" s="188"/>
      <c r="AC57" s="188"/>
      <c r="AD57" s="188"/>
      <c r="AE57" s="188"/>
      <c r="AF57" s="188"/>
      <c r="AH57" s="192"/>
      <c r="AI57" s="188"/>
      <c r="AJ57" s="188"/>
      <c r="AK57" s="188"/>
      <c r="AL57" s="188"/>
      <c r="AM57" s="188"/>
      <c r="AN57" s="40"/>
      <c r="AO57" s="40"/>
      <c r="AP57" s="40"/>
      <c r="AV57" s="189"/>
    </row>
    <row r="58" spans="2:48" ht="24" customHeight="1">
      <c r="D58" s="194" t="str">
        <f>IF($AQ$18=0,"","[下限0%]")</f>
        <v>[下限0%]</v>
      </c>
      <c r="E58" s="184"/>
      <c r="F58" s="184"/>
      <c r="G58" s="184"/>
      <c r="H58" s="184"/>
      <c r="I58" s="184"/>
      <c r="J58" s="184"/>
      <c r="K58" s="40"/>
      <c r="M58" s="44"/>
      <c r="N58" s="187"/>
      <c r="O58" s="187"/>
      <c r="P58" s="187"/>
      <c r="Q58" s="187"/>
      <c r="S58" s="190"/>
      <c r="T58" s="190"/>
      <c r="U58" s="184"/>
      <c r="V58" s="186"/>
      <c r="W58" s="186"/>
      <c r="X58" s="186"/>
      <c r="Y58" s="186"/>
      <c r="Z58" s="186"/>
      <c r="AA58" s="184"/>
      <c r="AB58" s="188"/>
      <c r="AC58" s="188"/>
      <c r="AD58" s="188"/>
      <c r="AE58" s="188"/>
      <c r="AF58" s="188"/>
      <c r="AH58" s="192"/>
      <c r="AI58" s="188"/>
      <c r="AJ58" s="188"/>
      <c r="AK58" s="188"/>
      <c r="AL58" s="188"/>
      <c r="AM58" s="188"/>
      <c r="AN58" s="40"/>
      <c r="AO58" s="40"/>
      <c r="AP58" s="40"/>
      <c r="AV58" s="189"/>
    </row>
    <row r="59" spans="2:48" ht="13.5" customHeight="1">
      <c r="H59" s="240" t="str">
        <f>IF($AQ$18=0,"","(運    賃)")</f>
        <v>(運    賃)</v>
      </c>
      <c r="I59" s="240"/>
      <c r="J59" s="240"/>
      <c r="K59" s="10" t="str">
        <f>IF($AQ$18=0,"","(上限額)")</f>
        <v>(上限額)</v>
      </c>
      <c r="N59" s="246">
        <f ca="1">IF($AQ$18=0,"",N9)</f>
        <v>6480</v>
      </c>
      <c r="O59" s="246"/>
      <c r="P59" s="246"/>
      <c r="Q59" s="246"/>
      <c r="R59" s="184" t="str">
        <f>IF($AQ$18=0,"","×")</f>
        <v>×</v>
      </c>
      <c r="S59" s="257" t="str">
        <f>IF($AQ$18=0,"","0%")</f>
        <v>0%</v>
      </c>
      <c r="T59" s="257"/>
      <c r="U59" s="184" t="str">
        <f>IF($AQ$18=0,"","×")</f>
        <v>×</v>
      </c>
      <c r="V59" s="239">
        <f>IF($AQ$18=0,"",$AQ$18)</f>
        <v>2</v>
      </c>
      <c r="W59" s="239"/>
      <c r="X59" s="239"/>
      <c r="Y59" s="239"/>
      <c r="Z59" s="239"/>
      <c r="AA59" s="184" t="str">
        <f>IF($AQ$18=0,"","＝")</f>
        <v>＝</v>
      </c>
      <c r="AB59" s="260">
        <v>0</v>
      </c>
      <c r="AC59" s="260"/>
      <c r="AD59" s="260"/>
      <c r="AE59" s="260"/>
      <c r="AF59" s="260"/>
      <c r="AJ59" s="59"/>
      <c r="AK59" s="59"/>
      <c r="AL59" s="59"/>
      <c r="AV59" s="189"/>
    </row>
    <row r="60" spans="2:48" ht="13.5" customHeight="1">
      <c r="H60" s="194"/>
      <c r="N60" s="187"/>
      <c r="O60" s="187"/>
      <c r="P60" s="187"/>
      <c r="Q60" s="187"/>
      <c r="S60" s="190"/>
      <c r="T60" s="190"/>
      <c r="U60" s="44"/>
      <c r="V60" s="186"/>
      <c r="W60" s="186"/>
      <c r="X60" s="186"/>
      <c r="Y60" s="186"/>
      <c r="Z60" s="186"/>
      <c r="AB60" s="60"/>
      <c r="AC60" s="60"/>
      <c r="AD60" s="60"/>
      <c r="AE60" s="60"/>
      <c r="AF60" s="60"/>
      <c r="AH60" s="18"/>
      <c r="AI60" s="18"/>
      <c r="AJ60" s="18"/>
      <c r="AK60" s="1"/>
      <c r="AL60" s="1"/>
      <c r="AN60" s="59"/>
      <c r="AV60" s="189"/>
    </row>
    <row r="61" spans="2:48" ht="13.5" customHeight="1">
      <c r="D61" s="240" t="str">
        <f>IF($AQ$18=0,"",IF($AW$87=FALSE,"","(交替運転者配置料金)"))</f>
        <v>(交替運転者配置料金)</v>
      </c>
      <c r="E61" s="240"/>
      <c r="F61" s="240"/>
      <c r="G61" s="240"/>
      <c r="H61" s="240"/>
      <c r="I61" s="240"/>
      <c r="J61" s="240"/>
      <c r="K61" s="40" t="str">
        <f>IF($AQ$18=0,"",IF($AW$87=FALSE,"","(上限額)"))</f>
        <v>(上限額)</v>
      </c>
      <c r="L61" s="44"/>
      <c r="M61" s="44"/>
      <c r="N61" s="246">
        <f ca="1">IF($AQ$18=0,"",IF($AW$87=FALSE,"",M91))</f>
        <v>3080</v>
      </c>
      <c r="O61" s="246"/>
      <c r="P61" s="246"/>
      <c r="Q61" s="246"/>
      <c r="R61" s="184" t="str">
        <f>IF($AQ$18=0,"",IF($AW$87=FALSE,"","×"))</f>
        <v>×</v>
      </c>
      <c r="S61" s="257" t="str">
        <f>IF($AQ$18=0,"",IF($AW$87=FALSE,"","0%"))</f>
        <v>0%</v>
      </c>
      <c r="T61" s="257"/>
      <c r="U61" s="184" t="str">
        <f>IF($AQ$18=0,"",IF($AW$87=FALSE,"","×"))</f>
        <v>×</v>
      </c>
      <c r="V61" s="239">
        <f>IF($AQ$18=0,"",IF($AW$87=FALSE,"",$AQ$18))</f>
        <v>2</v>
      </c>
      <c r="W61" s="239"/>
      <c r="X61" s="239"/>
      <c r="Y61" s="239"/>
      <c r="Z61" s="239"/>
      <c r="AA61" s="184" t="str">
        <f>IF($AQ$18=0,"",IF($AW$87=FALSE,"","＝"))</f>
        <v>＝</v>
      </c>
      <c r="AB61" s="260">
        <f>IF($AQ$18=0,"",IF($AW$87=FALSE,"",0))</f>
        <v>0</v>
      </c>
      <c r="AC61" s="260"/>
      <c r="AD61" s="260"/>
      <c r="AE61" s="260"/>
      <c r="AF61" s="260"/>
      <c r="AH61" s="192" t="str">
        <f>IF($AQ$18=0,"","計")</f>
        <v>計</v>
      </c>
      <c r="AI61" s="260">
        <f>IF($AQ$18=0,"",IF(AW87=TRUE,AB59+AB61,AB59))</f>
        <v>0</v>
      </c>
      <c r="AJ61" s="260"/>
      <c r="AK61" s="260"/>
      <c r="AL61" s="260"/>
      <c r="AM61" s="260"/>
      <c r="AN61" s="40" t="s">
        <v>136</v>
      </c>
      <c r="AO61" s="40"/>
      <c r="AP61" s="40"/>
      <c r="AV61" s="189"/>
    </row>
    <row r="62" spans="2:48" ht="13.5" customHeight="1">
      <c r="H62" s="194"/>
      <c r="N62" s="187"/>
      <c r="O62" s="187"/>
      <c r="P62" s="187"/>
      <c r="Q62" s="187"/>
      <c r="S62" s="190"/>
      <c r="T62" s="190"/>
      <c r="U62" s="44"/>
      <c r="V62" s="186"/>
      <c r="W62" s="186"/>
      <c r="X62" s="186"/>
      <c r="Y62" s="186"/>
      <c r="Z62" s="186"/>
      <c r="AB62" s="60"/>
      <c r="AC62" s="60"/>
      <c r="AD62" s="60"/>
      <c r="AE62" s="60"/>
      <c r="AF62" s="60"/>
      <c r="AH62" s="18"/>
      <c r="AI62" s="62"/>
      <c r="AJ62" s="62"/>
      <c r="AK62" s="62"/>
      <c r="AL62" s="62"/>
      <c r="AM62" s="62"/>
      <c r="AN62" s="63"/>
      <c r="AV62" s="189"/>
    </row>
    <row r="63" spans="2:48" ht="13.5" customHeight="1">
      <c r="H63" s="240" t="str">
        <f>IF($AQ$18=0,"","(運    賃)")</f>
        <v>(運    賃)</v>
      </c>
      <c r="I63" s="240"/>
      <c r="J63" s="240"/>
      <c r="K63" s="10" t="str">
        <f>IF($AQ$18=0,"","(下限額)")</f>
        <v>(下限額)</v>
      </c>
      <c r="N63" s="246">
        <f ca="1">IF($AQ$18=0,"",R9)</f>
        <v>4490</v>
      </c>
      <c r="O63" s="246"/>
      <c r="P63" s="246"/>
      <c r="Q63" s="246"/>
      <c r="R63" s="184" t="str">
        <f>IF($AQ$18=0,"","×")</f>
        <v>×</v>
      </c>
      <c r="S63" s="257" t="str">
        <f>IF($AQ$18=0,"","0%")</f>
        <v>0%</v>
      </c>
      <c r="T63" s="257"/>
      <c r="U63" s="184" t="str">
        <f>IF($AQ$18=0,"","×")</f>
        <v>×</v>
      </c>
      <c r="V63" s="239">
        <f>IF($AQ$18=0,"",$AQ$18)</f>
        <v>2</v>
      </c>
      <c r="W63" s="239"/>
      <c r="X63" s="239"/>
      <c r="Y63" s="239"/>
      <c r="Z63" s="239"/>
      <c r="AA63" s="184" t="str">
        <f>IF($AQ$18=0,"","＝")</f>
        <v>＝</v>
      </c>
      <c r="AB63" s="260">
        <v>0</v>
      </c>
      <c r="AC63" s="260"/>
      <c r="AD63" s="260"/>
      <c r="AE63" s="260"/>
      <c r="AF63" s="260"/>
      <c r="AV63" s="189"/>
    </row>
    <row r="64" spans="2:48" ht="13.5" customHeight="1">
      <c r="H64" s="194"/>
      <c r="N64" s="187"/>
      <c r="O64" s="187"/>
      <c r="P64" s="187"/>
      <c r="Q64" s="187"/>
      <c r="S64" s="190"/>
      <c r="T64" s="190"/>
      <c r="U64" s="44"/>
      <c r="V64" s="186"/>
      <c r="W64" s="186"/>
      <c r="X64" s="186"/>
      <c r="Y64" s="186"/>
      <c r="Z64" s="186"/>
      <c r="AB64" s="60"/>
      <c r="AC64" s="60"/>
      <c r="AD64" s="60"/>
      <c r="AE64" s="60"/>
      <c r="AF64" s="60"/>
      <c r="AH64" s="18"/>
      <c r="AI64" s="62"/>
      <c r="AJ64" s="62"/>
      <c r="AK64" s="62"/>
      <c r="AL64" s="62"/>
      <c r="AM64" s="62"/>
      <c r="AN64" s="59"/>
      <c r="AV64" s="189"/>
    </row>
    <row r="65" spans="1:49" ht="13.5" customHeight="1">
      <c r="D65" s="240" t="str">
        <f>IF($AQ$18=0,"",IF($AW$87=FALSE,"","(交替運転者配置料金)"))</f>
        <v>(交替運転者配置料金)</v>
      </c>
      <c r="E65" s="240"/>
      <c r="F65" s="240"/>
      <c r="G65" s="240"/>
      <c r="H65" s="240"/>
      <c r="I65" s="240"/>
      <c r="J65" s="240"/>
      <c r="K65" s="40" t="str">
        <f>IF($AQ$18=0,"",IF($AW$87=FALSE,"","(下限額)"))</f>
        <v>(下限額)</v>
      </c>
      <c r="M65" s="44"/>
      <c r="N65" s="246">
        <f ca="1">IF($AQ$18=0,"",IF($AW$87=FALSE,"",Q91))</f>
        <v>2130</v>
      </c>
      <c r="O65" s="246"/>
      <c r="P65" s="246"/>
      <c r="Q65" s="246"/>
      <c r="R65" s="184" t="str">
        <f>IF($AQ$18=0,"",IF($AW$87=FALSE,"","×"))</f>
        <v>×</v>
      </c>
      <c r="S65" s="257" t="str">
        <f>IF($AQ$18=0,"",IF($AW$87=FALSE,"","0%"))</f>
        <v>0%</v>
      </c>
      <c r="T65" s="257"/>
      <c r="U65" s="184" t="str">
        <f>IF($AQ$18=0,"",IF($AW$87=FALSE,"","×"))</f>
        <v>×</v>
      </c>
      <c r="V65" s="239">
        <f>IF($AQ$18=0,"",IF($AW$87=FALSE,"",$AQ$18))</f>
        <v>2</v>
      </c>
      <c r="W65" s="239"/>
      <c r="X65" s="239"/>
      <c r="Y65" s="239"/>
      <c r="Z65" s="239"/>
      <c r="AA65" s="184" t="str">
        <f>IF($AQ$18=0,"",IF($AW$87=FALSE,"","＝"))</f>
        <v>＝</v>
      </c>
      <c r="AB65" s="260">
        <f>IF($AQ$18=0,"",IF($AW$87=FALSE,"",0))</f>
        <v>0</v>
      </c>
      <c r="AC65" s="260"/>
      <c r="AD65" s="260"/>
      <c r="AE65" s="260"/>
      <c r="AF65" s="260"/>
      <c r="AH65" s="192" t="str">
        <f>IF($AQ$18=0,"","計")</f>
        <v>計</v>
      </c>
      <c r="AI65" s="260">
        <f>IF(AQ18=0,"",IF(AW87=TRUE,AB63+AB65,AB63))</f>
        <v>0</v>
      </c>
      <c r="AJ65" s="260"/>
      <c r="AK65" s="260"/>
      <c r="AL65" s="260"/>
      <c r="AM65" s="260"/>
      <c r="AN65" s="40" t="s">
        <v>137</v>
      </c>
      <c r="AO65" s="40"/>
      <c r="AP65" s="40"/>
      <c r="AV65" s="189"/>
    </row>
    <row r="66" spans="1:49" ht="13.5" customHeight="1">
      <c r="D66" s="184"/>
      <c r="E66" s="184"/>
      <c r="F66" s="184"/>
      <c r="G66" s="184"/>
      <c r="H66" s="184"/>
      <c r="I66" s="184"/>
      <c r="J66" s="184"/>
      <c r="K66" s="40"/>
      <c r="M66" s="44"/>
      <c r="N66" s="187"/>
      <c r="O66" s="187"/>
      <c r="P66" s="187"/>
      <c r="Q66" s="187"/>
      <c r="S66" s="190"/>
      <c r="T66" s="190"/>
      <c r="U66" s="184"/>
      <c r="V66" s="186"/>
      <c r="W66" s="186"/>
      <c r="X66" s="186"/>
      <c r="Y66" s="186"/>
      <c r="Z66" s="186"/>
      <c r="AA66" s="184"/>
      <c r="AB66" s="188"/>
      <c r="AC66" s="188"/>
      <c r="AD66" s="188"/>
      <c r="AE66" s="188"/>
      <c r="AF66" s="188"/>
      <c r="AH66" s="192"/>
      <c r="AI66" s="188"/>
      <c r="AJ66" s="188"/>
      <c r="AK66" s="188"/>
      <c r="AL66" s="188"/>
      <c r="AM66" s="188"/>
      <c r="AN66" s="40"/>
      <c r="AO66" s="40"/>
      <c r="AP66" s="40"/>
      <c r="AV66" s="189"/>
    </row>
    <row r="67" spans="1:49" ht="13.5" customHeight="1">
      <c r="D67" s="184"/>
      <c r="E67" s="184"/>
      <c r="F67" s="184"/>
      <c r="G67" s="184"/>
      <c r="H67" s="184"/>
      <c r="I67" s="184"/>
      <c r="J67" s="184"/>
      <c r="K67" s="40"/>
      <c r="M67" s="44"/>
      <c r="N67" s="187"/>
      <c r="O67" s="187"/>
      <c r="P67" s="187"/>
      <c r="Q67" s="187"/>
      <c r="S67" s="190"/>
      <c r="T67" s="190"/>
      <c r="U67" s="184"/>
      <c r="V67" s="186"/>
      <c r="W67" s="186"/>
      <c r="X67" s="186"/>
      <c r="Y67" s="186"/>
      <c r="Z67" s="186"/>
      <c r="AA67" s="184"/>
      <c r="AB67" s="188"/>
      <c r="AC67" s="188"/>
      <c r="AD67" s="188"/>
      <c r="AE67" s="188"/>
      <c r="AF67" s="188"/>
      <c r="AH67" s="192"/>
      <c r="AI67" s="188"/>
      <c r="AJ67" s="188"/>
      <c r="AK67" s="188"/>
      <c r="AL67" s="188"/>
      <c r="AM67" s="188"/>
      <c r="AN67" s="40"/>
      <c r="AO67" s="40"/>
      <c r="AP67" s="40"/>
      <c r="AV67" s="189"/>
    </row>
    <row r="68" spans="1:49" ht="13.5" customHeight="1">
      <c r="D68" s="184"/>
      <c r="E68" s="184"/>
      <c r="F68" s="184"/>
      <c r="G68" s="184"/>
      <c r="H68" s="184"/>
      <c r="I68" s="184"/>
      <c r="J68" s="184"/>
      <c r="K68" s="40"/>
      <c r="M68" s="44"/>
      <c r="N68" s="187"/>
      <c r="O68" s="187"/>
      <c r="P68" s="187"/>
      <c r="Q68" s="187"/>
      <c r="S68" s="190"/>
      <c r="T68" s="190"/>
      <c r="U68" s="184"/>
      <c r="V68" s="186"/>
      <c r="W68" s="186"/>
      <c r="X68" s="186"/>
      <c r="Y68" s="186"/>
      <c r="Z68" s="186"/>
      <c r="AA68" s="184"/>
      <c r="AB68" s="188"/>
      <c r="AC68" s="188"/>
      <c r="AD68" s="188"/>
      <c r="AE68" s="188"/>
      <c r="AF68" s="188"/>
      <c r="AH68" s="192"/>
      <c r="AI68" s="188"/>
      <c r="AJ68" s="188"/>
      <c r="AK68" s="188"/>
      <c r="AL68" s="188"/>
      <c r="AM68" s="188"/>
      <c r="AN68" s="40"/>
      <c r="AO68" s="40"/>
      <c r="AP68" s="40"/>
      <c r="AV68" s="189"/>
    </row>
    <row r="69" spans="1:49" ht="13.5" customHeight="1">
      <c r="D69" s="184"/>
      <c r="E69" s="184"/>
      <c r="F69" s="184"/>
      <c r="G69" s="184"/>
      <c r="H69" s="184"/>
      <c r="I69" s="184"/>
      <c r="J69" s="184"/>
      <c r="K69" s="40"/>
      <c r="M69" s="44"/>
      <c r="N69" s="187"/>
      <c r="O69" s="187"/>
      <c r="P69" s="187"/>
      <c r="Q69" s="187"/>
      <c r="S69" s="190"/>
      <c r="T69" s="190"/>
      <c r="U69" s="184"/>
      <c r="V69" s="186"/>
      <c r="W69" s="186"/>
      <c r="X69" s="186"/>
      <c r="Y69" s="186"/>
      <c r="Z69" s="186"/>
      <c r="AA69" s="184"/>
      <c r="AB69" s="188"/>
      <c r="AC69" s="188"/>
      <c r="AD69" s="188"/>
      <c r="AE69" s="188"/>
      <c r="AF69" s="188"/>
      <c r="AH69" s="192"/>
      <c r="AI69" s="188"/>
      <c r="AJ69" s="188"/>
      <c r="AK69" s="188"/>
      <c r="AL69" s="188"/>
      <c r="AM69" s="188"/>
      <c r="AN69" s="40"/>
      <c r="AO69" s="40"/>
      <c r="AP69" s="40"/>
      <c r="AV69" s="189"/>
    </row>
    <row r="70" spans="1:49">
      <c r="A70" s="10"/>
      <c r="B70" s="10"/>
      <c r="C70" s="10"/>
      <c r="AC70" s="1"/>
      <c r="AD70" s="1"/>
      <c r="AE70" s="1"/>
      <c r="AF70" s="1"/>
      <c r="AG70" s="1"/>
      <c r="AH70" s="18"/>
      <c r="AI70" s="62"/>
      <c r="AJ70" s="62"/>
      <c r="AK70" s="62"/>
      <c r="AL70" s="62"/>
      <c r="AM70" s="62"/>
    </row>
    <row r="71" spans="1:49">
      <c r="A71" s="10"/>
      <c r="B71" s="10"/>
      <c r="C71" s="10"/>
      <c r="E71" s="5" t="s">
        <v>29</v>
      </c>
      <c r="K71" s="3"/>
      <c r="AI71" s="3"/>
      <c r="AJ71" s="3"/>
      <c r="AW71" s="30" t="b">
        <v>1</v>
      </c>
    </row>
    <row r="72" spans="1:49" ht="25.5" customHeight="1">
      <c r="A72" s="10"/>
      <c r="B72" s="10"/>
      <c r="C72" s="10"/>
      <c r="D72" s="64" t="s">
        <v>110</v>
      </c>
      <c r="AI72" s="44"/>
      <c r="AJ72" s="44"/>
      <c r="AK72" s="44"/>
      <c r="AL72" s="44"/>
    </row>
    <row r="73" spans="1:49" ht="25.5" customHeight="1">
      <c r="A73" s="10"/>
      <c r="B73" s="10"/>
      <c r="C73" s="10"/>
      <c r="D73" s="64"/>
      <c r="M73" s="5" t="str">
        <f>IF(AW71=FALSE,"","上限")</f>
        <v>上限</v>
      </c>
      <c r="Q73" s="5" t="str">
        <f>IF(AW71=FALSE,"","下限")</f>
        <v>下限</v>
      </c>
      <c r="AJ73" s="3"/>
    </row>
    <row r="74" spans="1:49" ht="20.25" customHeight="1">
      <c r="A74" s="11"/>
      <c r="G74" s="259"/>
      <c r="H74" s="259"/>
      <c r="J74" s="5" t="str">
        <f>IF(AW71=FALSE,"","割増率")</f>
        <v>割増率</v>
      </c>
      <c r="M74" s="258">
        <v>50</v>
      </c>
      <c r="N74" s="258"/>
      <c r="O74" s="3" t="str">
        <f>IF($AW$71=FALSE,"","％")</f>
        <v>％</v>
      </c>
      <c r="P74" s="52" t="str">
        <f>IF(AW71=FALSE,"","～")</f>
        <v>～</v>
      </c>
      <c r="Q74" s="258">
        <v>0</v>
      </c>
      <c r="R74" s="258"/>
      <c r="S74" s="3" t="str">
        <f>IF($AW$71=FALSE,"","％")</f>
        <v>％</v>
      </c>
      <c r="T74" s="24"/>
      <c r="U74" s="46"/>
      <c r="V74" s="46"/>
      <c r="W74" s="3"/>
      <c r="Y74" s="11"/>
      <c r="Z74" s="11"/>
      <c r="AA74" s="11"/>
      <c r="AB74" s="11"/>
      <c r="AC74" s="11"/>
      <c r="AD74" s="11"/>
      <c r="AE74" s="11"/>
      <c r="AF74" s="11"/>
      <c r="AG74" s="11"/>
      <c r="AH74" s="11"/>
      <c r="AI74" s="11"/>
      <c r="AJ74" s="11"/>
      <c r="AK74" s="11"/>
      <c r="AL74" s="11"/>
      <c r="AM74" s="11"/>
      <c r="AN74" s="11"/>
      <c r="AO74" s="11"/>
      <c r="AP74" s="11"/>
      <c r="AQ74" s="11"/>
      <c r="AR74" s="11"/>
      <c r="AS74" s="11"/>
    </row>
    <row r="75" spans="1:49">
      <c r="A75" s="11"/>
      <c r="N75" s="1"/>
      <c r="P75" s="1"/>
      <c r="Y75" s="11"/>
      <c r="Z75" s="11"/>
      <c r="AA75" s="11"/>
      <c r="AB75" s="11"/>
      <c r="AC75" s="11"/>
      <c r="AD75" s="11"/>
      <c r="AE75" s="11"/>
      <c r="AF75" s="11"/>
      <c r="AG75" s="11"/>
      <c r="AH75" s="11"/>
      <c r="AI75" s="11"/>
      <c r="AJ75" s="11"/>
      <c r="AK75" s="11"/>
      <c r="AL75" s="11"/>
      <c r="AM75" s="11"/>
      <c r="AN75" s="11"/>
      <c r="AO75" s="11"/>
      <c r="AP75" s="11"/>
      <c r="AQ75" s="11"/>
      <c r="AR75" s="11"/>
      <c r="AS75" s="11"/>
    </row>
    <row r="76" spans="1:49" ht="4.5" customHeight="1">
      <c r="A76" s="11"/>
      <c r="P76" s="1"/>
      <c r="V76" s="111"/>
      <c r="Y76" s="11"/>
      <c r="Z76" s="11"/>
      <c r="AA76" s="11"/>
      <c r="AB76" s="11"/>
      <c r="AC76" s="11"/>
      <c r="AD76" s="11"/>
      <c r="AE76" s="11"/>
      <c r="AF76" s="11"/>
      <c r="AG76" s="11"/>
      <c r="AH76" s="11"/>
      <c r="AI76" s="11"/>
      <c r="AJ76" s="11"/>
      <c r="AK76" s="11"/>
      <c r="AL76" s="11"/>
      <c r="AM76" s="11"/>
      <c r="AN76" s="11"/>
      <c r="AO76" s="11"/>
      <c r="AP76" s="11"/>
      <c r="AQ76" s="11"/>
      <c r="AR76" s="11"/>
      <c r="AS76" s="11"/>
    </row>
    <row r="77" spans="1:49">
      <c r="A77" s="11"/>
      <c r="J77" s="240" t="str">
        <f>IF(AW71=FALSE,"","運賃")</f>
        <v>運賃</v>
      </c>
      <c r="K77" s="240"/>
      <c r="L77" s="240"/>
      <c r="M77" s="240"/>
      <c r="N77" s="240"/>
      <c r="P77" s="240" t="str">
        <f>IF(AW71=FALSE,"","割増率")</f>
        <v>割増率</v>
      </c>
      <c r="Q77" s="240"/>
      <c r="R77" s="240"/>
      <c r="AE77" s="11"/>
      <c r="AF77" s="11"/>
      <c r="AG77" s="11"/>
      <c r="AH77" s="11"/>
      <c r="AI77" s="11"/>
      <c r="AJ77" s="11"/>
      <c r="AK77" s="11"/>
      <c r="AL77" s="11"/>
      <c r="AM77" s="11"/>
      <c r="AN77" s="11"/>
      <c r="AO77" s="11"/>
      <c r="AP77" s="11"/>
      <c r="AQ77" s="11"/>
      <c r="AR77" s="11"/>
      <c r="AS77" s="11"/>
    </row>
    <row r="78" spans="1:49" ht="21" customHeight="1">
      <c r="A78" s="11"/>
      <c r="G78" s="5" t="str">
        <f>IF(AW71=FALSE,"","[上限50%]")</f>
        <v>[上限50%]</v>
      </c>
      <c r="J78" s="246">
        <f ca="1">IF(AW71=FALSE,"",IF(AW36=1,AF31,AB38))</f>
        <v>230160</v>
      </c>
      <c r="K78" s="246"/>
      <c r="L78" s="246"/>
      <c r="M78" s="246"/>
      <c r="N78" s="246"/>
      <c r="O78" s="187" t="str">
        <f>IF(AW71=FALSE,"","×")</f>
        <v>×</v>
      </c>
      <c r="P78" s="248">
        <f>IF(AW71=FALSE,"",IF(M74="","",$M$74/100))</f>
        <v>0.5</v>
      </c>
      <c r="Q78" s="248"/>
      <c r="R78" s="248"/>
      <c r="S78" s="5" t="str">
        <f>IF(AW71=FALSE,"","=")</f>
        <v>=</v>
      </c>
      <c r="T78" s="268">
        <f ca="1">IF(AW71=FALSE,"",IF(ISERROR(ROUND(J78*P78,0)),"",ROUND(J78*P78,0)))</f>
        <v>115080</v>
      </c>
      <c r="U78" s="268"/>
      <c r="V78" s="268"/>
      <c r="W78" s="268"/>
      <c r="X78" s="268"/>
      <c r="Y78" s="268"/>
      <c r="Z78" s="268"/>
      <c r="AA78" s="189" t="str">
        <f>IF(AW71=FALSE,"","上限額⑤")</f>
        <v>上限額⑤</v>
      </c>
      <c r="AB78" s="189"/>
      <c r="AC78" s="189"/>
      <c r="AE78" s="11"/>
      <c r="AF78" s="259" t="str">
        <f>IF(AW71=FALSE,"","～")</f>
        <v>～</v>
      </c>
      <c r="AG78" s="259"/>
      <c r="AH78" s="11"/>
      <c r="AI78" s="11"/>
      <c r="AJ78" s="11"/>
      <c r="AK78" s="11"/>
      <c r="AL78" s="11"/>
      <c r="AM78" s="11"/>
      <c r="AN78" s="11"/>
      <c r="AO78" s="11"/>
      <c r="AP78" s="11"/>
      <c r="AQ78" s="11"/>
      <c r="AR78" s="11"/>
      <c r="AS78" s="11"/>
    </row>
    <row r="79" spans="1:49" ht="13.5" hidden="1" customHeight="1">
      <c r="A79" s="11"/>
      <c r="G79" s="259"/>
      <c r="H79" s="259"/>
      <c r="J79" s="117"/>
      <c r="K79" s="117"/>
      <c r="L79" s="117"/>
      <c r="M79" s="117"/>
      <c r="N79" s="117"/>
      <c r="O79" s="187"/>
      <c r="P79" s="118"/>
      <c r="Q79" s="118"/>
      <c r="R79" s="190"/>
      <c r="T79" s="119"/>
      <c r="U79" s="119"/>
      <c r="V79" s="119"/>
      <c r="W79" s="119"/>
      <c r="X79" s="119"/>
      <c r="Y79" s="119"/>
      <c r="Z79" s="119"/>
      <c r="AA79" s="200"/>
      <c r="AB79" s="194"/>
      <c r="AC79" s="194"/>
      <c r="AE79" s="11"/>
      <c r="AF79" s="11"/>
      <c r="AG79" s="11"/>
      <c r="AH79" s="11"/>
      <c r="AI79" s="11"/>
      <c r="AJ79" s="11"/>
      <c r="AK79" s="11"/>
      <c r="AL79" s="11"/>
      <c r="AM79" s="11"/>
      <c r="AN79" s="11"/>
      <c r="AO79" s="11"/>
      <c r="AP79" s="11"/>
      <c r="AQ79" s="11"/>
      <c r="AR79" s="11"/>
      <c r="AS79" s="11"/>
    </row>
    <row r="80" spans="1:49" ht="21" customHeight="1">
      <c r="A80" s="11"/>
      <c r="J80" s="246">
        <f ca="1">IF(AW71=FALSE,"",IF(AW36=1,AF33,AF33))</f>
        <v>156330</v>
      </c>
      <c r="K80" s="246"/>
      <c r="L80" s="246"/>
      <c r="M80" s="246"/>
      <c r="N80" s="246"/>
      <c r="O80" s="187" t="str">
        <f>IF(AW71=FALSE,"","×")</f>
        <v>×</v>
      </c>
      <c r="P80" s="248">
        <f>IF(AW71=FALSE,"",IF(M74="","",$M$74/100))</f>
        <v>0.5</v>
      </c>
      <c r="Q80" s="248"/>
      <c r="R80" s="248"/>
      <c r="S80" s="5" t="str">
        <f>IF(AW71=FALSE,"","=")</f>
        <v>=</v>
      </c>
      <c r="T80" s="268">
        <f ca="1">IF(AW71=FALSE,"",IF(ISERROR(ROUND(J80*P80,0)),"",ROUND(J80*P80,0)))</f>
        <v>78165</v>
      </c>
      <c r="U80" s="268"/>
      <c r="V80" s="268"/>
      <c r="W80" s="268"/>
      <c r="X80" s="268"/>
      <c r="Y80" s="268"/>
      <c r="Z80" s="268"/>
      <c r="AA80" s="189" t="str">
        <f>IF(AW71=FALSE,"","下限額⑥")</f>
        <v>下限額⑥</v>
      </c>
      <c r="AB80" s="189"/>
      <c r="AC80" s="189"/>
      <c r="AE80" s="11"/>
      <c r="AF80" s="11"/>
      <c r="AG80" s="11"/>
      <c r="AH80" s="11"/>
      <c r="AI80" s="11"/>
      <c r="AJ80" s="11"/>
      <c r="AK80" s="11"/>
      <c r="AL80" s="11"/>
      <c r="AM80" s="11"/>
      <c r="AN80" s="11"/>
      <c r="AO80" s="11"/>
      <c r="AP80" s="11"/>
      <c r="AQ80" s="11"/>
      <c r="AR80" s="11"/>
      <c r="AS80" s="11"/>
    </row>
    <row r="81" spans="1:50" ht="12.75" customHeight="1">
      <c r="A81" s="11"/>
      <c r="J81" s="187"/>
      <c r="K81" s="187"/>
      <c r="L81" s="187"/>
      <c r="M81" s="187"/>
      <c r="N81" s="187"/>
      <c r="O81" s="187"/>
      <c r="P81" s="190"/>
      <c r="Q81" s="190"/>
      <c r="R81" s="190"/>
      <c r="T81" s="185"/>
      <c r="U81" s="185"/>
      <c r="V81" s="185"/>
      <c r="W81" s="185"/>
      <c r="X81" s="185"/>
      <c r="Y81" s="185"/>
      <c r="Z81" s="185"/>
      <c r="AA81" s="199"/>
      <c r="AB81" s="199"/>
      <c r="AC81" s="199"/>
      <c r="AE81" s="11"/>
      <c r="AF81" s="11"/>
      <c r="AG81" s="11"/>
      <c r="AH81" s="11"/>
      <c r="AI81" s="11"/>
      <c r="AJ81" s="11"/>
      <c r="AK81" s="11"/>
      <c r="AL81" s="11"/>
      <c r="AM81" s="11"/>
      <c r="AN81" s="11"/>
      <c r="AO81" s="11"/>
      <c r="AP81" s="11"/>
      <c r="AQ81" s="11"/>
      <c r="AR81" s="11"/>
      <c r="AS81" s="11"/>
    </row>
    <row r="82" spans="1:50" ht="21" customHeight="1">
      <c r="A82" s="11"/>
      <c r="G82" s="5" t="str">
        <f>IF(AW71=FALSE,"","[下限0%]")</f>
        <v>[下限0%]</v>
      </c>
      <c r="J82" s="246">
        <f ca="1">IF(AW71=FALSE,"",IF(AW36=1,AF31,AB38))</f>
        <v>230160</v>
      </c>
      <c r="K82" s="246"/>
      <c r="L82" s="246"/>
      <c r="M82" s="246"/>
      <c r="N82" s="246"/>
      <c r="O82" s="184" t="str">
        <f>IF(AW71=FALSE,"","×")</f>
        <v>×</v>
      </c>
      <c r="P82" s="257">
        <f>IF(AW71=FALSE,"",IF(Q74="","",$Q$74/100))</f>
        <v>0</v>
      </c>
      <c r="Q82" s="257"/>
      <c r="R82" s="257"/>
      <c r="S82" s="5" t="str">
        <f>IF(AW71=FALSE,"","=")</f>
        <v>=</v>
      </c>
      <c r="T82" s="268">
        <f ca="1">IF(AW71=FALSE,"",IF(ISERROR(ROUND(J82*P82,0)),"",ROUND(J82*P82,0)))</f>
        <v>0</v>
      </c>
      <c r="U82" s="268"/>
      <c r="V82" s="268"/>
      <c r="W82" s="268"/>
      <c r="X82" s="268"/>
      <c r="Y82" s="268"/>
      <c r="Z82" s="268"/>
      <c r="AA82" s="189" t="str">
        <f>IF(AW71=FALSE,"","上限額⑤'")</f>
        <v>上限額⑤'</v>
      </c>
      <c r="AB82" s="189"/>
      <c r="AC82" s="189"/>
      <c r="AE82" s="248" t="str">
        <f>IF(AW77=FALSE,"",IF(#REF!="","",$M$74/100))</f>
        <v/>
      </c>
      <c r="AF82" s="248"/>
      <c r="AG82" s="248"/>
      <c r="AH82" s="5" t="str">
        <f>IF(AW77=FALSE,"","=")</f>
        <v/>
      </c>
      <c r="AI82" s="268" t="str">
        <f>IF(AW77=FALSE,"",IF(ISERROR(ROUND(#REF!*AE82,0)),"",ROUND(#REF!*AE82,0)))</f>
        <v/>
      </c>
      <c r="AJ82" s="268"/>
      <c r="AK82" s="268"/>
      <c r="AL82" s="268"/>
      <c r="AM82" s="268"/>
      <c r="AN82" s="268"/>
      <c r="AO82" s="268"/>
      <c r="AP82" s="276" t="str">
        <f>IF(AW77=FALSE,"","下限額⑥")</f>
        <v/>
      </c>
      <c r="AQ82" s="276"/>
      <c r="AR82" s="276"/>
    </row>
    <row r="83" spans="1:50" ht="21" customHeight="1">
      <c r="A83" s="11"/>
      <c r="J83" s="246">
        <f ca="1">IF(AW71=FALSE,"",IF(AW36=1,AF33,AF33))</f>
        <v>156330</v>
      </c>
      <c r="K83" s="246"/>
      <c r="L83" s="246"/>
      <c r="M83" s="246"/>
      <c r="N83" s="246"/>
      <c r="O83" s="187" t="str">
        <f>IF(AW71=FALSE,"","×")</f>
        <v>×</v>
      </c>
      <c r="P83" s="257">
        <f>IF(AW71=FALSE,"",IF(Q74="","",$Q$74/100))</f>
        <v>0</v>
      </c>
      <c r="Q83" s="257"/>
      <c r="R83" s="257"/>
      <c r="S83" s="5" t="str">
        <f>IF(AW71=FALSE,"","=")</f>
        <v>=</v>
      </c>
      <c r="T83" s="268">
        <f ca="1">IF(AW71=FALSE,"",IF(ISERROR(ROUND(J83*P83,0)),"",ROUND(J83*P83,0)))</f>
        <v>0</v>
      </c>
      <c r="U83" s="268"/>
      <c r="V83" s="268"/>
      <c r="W83" s="268"/>
      <c r="X83" s="268"/>
      <c r="Y83" s="268"/>
      <c r="Z83" s="268"/>
      <c r="AA83" s="189" t="str">
        <f>IF(AW71=FALSE,"","下限額⑥'")</f>
        <v>下限額⑥'</v>
      </c>
      <c r="AB83" s="189"/>
      <c r="AC83" s="189"/>
      <c r="AE83" s="190"/>
      <c r="AF83" s="190"/>
      <c r="AG83" s="190"/>
      <c r="AI83" s="185"/>
      <c r="AJ83" s="185"/>
      <c r="AK83" s="185"/>
      <c r="AL83" s="185"/>
      <c r="AM83" s="185"/>
      <c r="AN83" s="185"/>
      <c r="AO83" s="185"/>
      <c r="AP83" s="189"/>
      <c r="AQ83" s="189"/>
      <c r="AR83" s="189"/>
    </row>
    <row r="84" spans="1:50">
      <c r="A84" s="11"/>
      <c r="J84" s="187"/>
      <c r="K84" s="187"/>
      <c r="L84" s="187"/>
      <c r="M84" s="187"/>
      <c r="N84" s="187"/>
      <c r="O84" s="187"/>
      <c r="P84" s="190"/>
      <c r="Q84" s="190"/>
      <c r="R84" s="190"/>
      <c r="T84" s="185"/>
      <c r="U84" s="185"/>
      <c r="V84" s="185"/>
      <c r="W84" s="185"/>
      <c r="X84" s="185"/>
      <c r="Y84" s="185"/>
      <c r="Z84" s="185"/>
      <c r="AA84" s="56"/>
      <c r="AE84" s="190"/>
      <c r="AF84" s="190"/>
      <c r="AG84" s="190"/>
      <c r="AI84" s="185"/>
      <c r="AJ84" s="185"/>
      <c r="AK84" s="185"/>
      <c r="AL84" s="185"/>
      <c r="AM84" s="185"/>
      <c r="AN84" s="185"/>
      <c r="AO84" s="185"/>
      <c r="AP84" s="189"/>
      <c r="AQ84" s="189"/>
      <c r="AR84" s="189"/>
    </row>
    <row r="85" spans="1:50">
      <c r="A85" s="11"/>
      <c r="P85" s="1"/>
      <c r="Y85" s="187"/>
      <c r="Z85" s="187"/>
      <c r="AA85" s="187"/>
      <c r="AB85" s="187"/>
      <c r="AC85" s="187"/>
      <c r="AD85" s="187"/>
      <c r="AE85" s="190"/>
      <c r="AF85" s="190"/>
      <c r="AG85" s="190"/>
      <c r="AI85" s="185"/>
      <c r="AJ85" s="185"/>
      <c r="AK85" s="185"/>
      <c r="AL85" s="185"/>
      <c r="AM85" s="185"/>
      <c r="AN85" s="185"/>
      <c r="AO85" s="185"/>
      <c r="AP85" s="189"/>
      <c r="AQ85" s="189"/>
      <c r="AR85" s="189"/>
    </row>
    <row r="86" spans="1:50">
      <c r="A86" s="11"/>
      <c r="P86" s="1"/>
      <c r="T86" s="21"/>
    </row>
    <row r="87" spans="1:50">
      <c r="A87" s="11"/>
      <c r="E87" s="124" t="s">
        <v>30</v>
      </c>
      <c r="M87" s="3"/>
      <c r="AW87" s="30" t="b">
        <v>1</v>
      </c>
    </row>
    <row r="88" spans="1:50" ht="28.5" customHeight="1">
      <c r="A88" s="11"/>
      <c r="D88" s="270" t="s">
        <v>109</v>
      </c>
      <c r="E88" s="270"/>
      <c r="F88" s="270"/>
      <c r="G88" s="270"/>
      <c r="H88" s="270"/>
      <c r="I88" s="270"/>
      <c r="J88" s="270"/>
      <c r="K88" s="270"/>
      <c r="L88" s="270"/>
      <c r="M88" s="270"/>
      <c r="N88" s="270"/>
      <c r="O88" s="270"/>
      <c r="P88" s="270"/>
      <c r="Q88" s="270"/>
      <c r="R88" s="270"/>
      <c r="S88" s="270"/>
      <c r="T88" s="270"/>
      <c r="U88" s="270"/>
    </row>
    <row r="89" spans="1:50">
      <c r="A89" s="11"/>
      <c r="D89" s="270"/>
      <c r="E89" s="270"/>
      <c r="F89" s="270"/>
      <c r="G89" s="270"/>
      <c r="H89" s="270"/>
      <c r="I89" s="270"/>
      <c r="J89" s="270"/>
      <c r="K89" s="270"/>
      <c r="L89" s="270"/>
      <c r="M89" s="270"/>
      <c r="N89" s="270"/>
      <c r="O89" s="270"/>
      <c r="P89" s="270"/>
      <c r="Q89" s="270"/>
      <c r="R89" s="270"/>
      <c r="S89" s="270"/>
      <c r="T89" s="270"/>
      <c r="U89" s="270"/>
    </row>
    <row r="90" spans="1:50">
      <c r="A90" s="11"/>
      <c r="D90" s="131"/>
      <c r="E90" s="131"/>
      <c r="F90" s="131"/>
      <c r="G90" s="131"/>
      <c r="H90" s="131"/>
      <c r="I90" s="131"/>
      <c r="J90" s="131"/>
      <c r="K90" s="131"/>
      <c r="L90" s="131"/>
      <c r="M90" s="252" t="str">
        <f>IF(AW87=FALSE,"","上限額")</f>
        <v>上限額</v>
      </c>
      <c r="N90" s="252"/>
      <c r="O90" s="252"/>
      <c r="P90" s="51"/>
      <c r="Q90" s="252" t="str">
        <f>IF(AW87=FALSE,"","下限額")</f>
        <v>下限額</v>
      </c>
      <c r="R90" s="252"/>
      <c r="S90" s="252"/>
      <c r="T90" s="131"/>
      <c r="Y90" s="128"/>
      <c r="Z90" s="128"/>
      <c r="AA90" s="128"/>
      <c r="AB90" s="65"/>
      <c r="AC90" s="128"/>
      <c r="AD90" s="128"/>
      <c r="AE90" s="128"/>
      <c r="AW90" s="30">
        <v>1</v>
      </c>
      <c r="AX90" s="30" t="s">
        <v>123</v>
      </c>
    </row>
    <row r="91" spans="1:50" ht="17.25">
      <c r="A91" s="11"/>
      <c r="G91" s="259"/>
      <c r="H91" s="259"/>
      <c r="J91" s="5" t="str">
        <f>IF(AW87=FALSE,"","時間単価")</f>
        <v>時間単価</v>
      </c>
      <c r="M91" s="253">
        <f ca="1">IF(AW87=FALSE,"",INDEX(INDIRECT(VLOOKUP(AW5,AW90:AX99,2,FALSE)),2,1))</f>
        <v>3080</v>
      </c>
      <c r="N91" s="253"/>
      <c r="O91" s="253"/>
      <c r="P91" s="42" t="str">
        <f>IF(AW87=FALSE,"","～")</f>
        <v>～</v>
      </c>
      <c r="Q91" s="253">
        <f ca="1">IF(AW87=FALSE,"",INDEX(INDIRECT(VLOOKUP(AW5,AW90:AX99,2,FALSE)),2,2))</f>
        <v>2130</v>
      </c>
      <c r="R91" s="253"/>
      <c r="S91" s="253"/>
      <c r="T91" s="61"/>
      <c r="AW91" s="30">
        <v>2</v>
      </c>
      <c r="AX91" s="30" t="s">
        <v>124</v>
      </c>
    </row>
    <row r="92" spans="1:50" ht="5.25" customHeight="1">
      <c r="A92" s="10"/>
      <c r="B92" s="10"/>
      <c r="C92" s="10"/>
      <c r="F92" s="124"/>
      <c r="G92" s="124"/>
      <c r="H92" s="124"/>
      <c r="M92" s="38"/>
      <c r="N92" s="38"/>
      <c r="O92" s="38"/>
      <c r="P92" s="38"/>
      <c r="Q92" s="38"/>
      <c r="R92" s="205"/>
      <c r="S92" s="38"/>
      <c r="AW92" s="30">
        <v>3</v>
      </c>
      <c r="AX92" s="30" t="s">
        <v>125</v>
      </c>
    </row>
    <row r="93" spans="1:50" ht="17.25">
      <c r="A93" s="10"/>
      <c r="B93" s="10"/>
      <c r="C93" s="10"/>
      <c r="J93" s="5" t="str">
        <f>IF(AW87=FALSE,"","キロ単価")</f>
        <v>キロ単価</v>
      </c>
      <c r="M93" s="253">
        <f ca="1">IF(AW87=FALSE,"",INDEX(INDIRECT(VLOOKUP(AW5,AW90:AX99,2,FALSE)),1,1))</f>
        <v>40</v>
      </c>
      <c r="N93" s="253"/>
      <c r="O93" s="253"/>
      <c r="P93" s="42" t="str">
        <f>IF(AW87=FALSE,"","～")</f>
        <v>～</v>
      </c>
      <c r="Q93" s="253">
        <f ca="1">IF(AW87=FALSE,"",INDEX(INDIRECT(VLOOKUP(AW5,AW90:AX99,2,FALSE)),1,2))</f>
        <v>30</v>
      </c>
      <c r="R93" s="253"/>
      <c r="S93" s="253"/>
      <c r="T93" s="10"/>
      <c r="X93" s="10"/>
      <c r="Y93" s="10"/>
      <c r="Z93" s="10"/>
      <c r="AA93" s="10"/>
      <c r="AB93" s="10"/>
      <c r="AC93" s="10"/>
      <c r="AD93" s="10"/>
      <c r="AH93" s="44"/>
      <c r="AW93" s="30">
        <v>4</v>
      </c>
      <c r="AX93" s="30" t="s">
        <v>126</v>
      </c>
    </row>
    <row r="94" spans="1:50">
      <c r="N94" s="18"/>
      <c r="O94" s="18"/>
      <c r="P94" s="18"/>
      <c r="R94" s="192"/>
      <c r="S94" s="1"/>
      <c r="AJ94" s="18"/>
      <c r="AK94" s="18"/>
      <c r="AL94" s="18"/>
      <c r="AM94" s="18"/>
      <c r="AN94" s="18"/>
      <c r="AO94" s="18"/>
      <c r="AP94" s="18"/>
      <c r="AQ94" s="18"/>
      <c r="AR94" s="18"/>
      <c r="AT94" s="44"/>
      <c r="AW94" s="30">
        <v>5</v>
      </c>
      <c r="AX94" s="30" t="s">
        <v>127</v>
      </c>
    </row>
    <row r="95" spans="1:50">
      <c r="J95" s="240" t="str">
        <f>IF(AW87=FALSE,"","時間単価")</f>
        <v>時間単価</v>
      </c>
      <c r="K95" s="240"/>
      <c r="L95" s="240"/>
      <c r="M95" s="240" t="str">
        <f>IF(AW87=FALSE,"","総拘束時間")</f>
        <v>総拘束時間</v>
      </c>
      <c r="N95" s="240"/>
      <c r="O95" s="240"/>
      <c r="P95" s="240"/>
      <c r="R95" s="240" t="str">
        <f>IF(AW87=FALSE,"","キロ単価")</f>
        <v>キロ単価</v>
      </c>
      <c r="S95" s="240"/>
      <c r="T95" s="240"/>
      <c r="U95" s="240"/>
      <c r="W95" s="240" t="str">
        <f>IF(AW87=FALSE,"","走行距離")</f>
        <v>走行距離</v>
      </c>
      <c r="X95" s="240"/>
      <c r="Y95" s="240"/>
      <c r="AJ95" s="1"/>
      <c r="AK95" s="1"/>
      <c r="AL95" s="1"/>
      <c r="AM95" s="1"/>
      <c r="AN95" s="1"/>
      <c r="AO95" s="1"/>
      <c r="AP95" s="1"/>
      <c r="AQ95" s="1"/>
      <c r="AR95" s="1"/>
      <c r="AW95" s="30">
        <v>6</v>
      </c>
      <c r="AX95" s="30" t="s">
        <v>128</v>
      </c>
    </row>
    <row r="96" spans="1:50" ht="21" customHeight="1">
      <c r="J96" s="246">
        <f ca="1">IF(AW87=FALSE,"",+$M$91)</f>
        <v>3080</v>
      </c>
      <c r="K96" s="246"/>
      <c r="L96" s="246"/>
      <c r="M96" s="5" t="str">
        <f>IF(AW87=FALSE,"","×")</f>
        <v>×</v>
      </c>
      <c r="N96" s="251">
        <f>IF(AW87=FALSE,"",+AC18)</f>
        <v>17</v>
      </c>
      <c r="O96" s="251"/>
      <c r="P96" s="251"/>
      <c r="Q96" s="5" t="str">
        <f>IF(AW87=FALSE,"","＋")</f>
        <v>＋</v>
      </c>
      <c r="R96" s="246">
        <f ca="1">IF(AW87=FALSE,"",+M93)</f>
        <v>40</v>
      </c>
      <c r="S96" s="246"/>
      <c r="T96" s="246"/>
      <c r="U96" s="246"/>
      <c r="V96" s="5" t="str">
        <f>IF(AW87=FALSE,"","×")</f>
        <v>×</v>
      </c>
      <c r="W96" s="256">
        <f>IF(AW87=FALSE,"",IF($T$24="",$N$24,$T$24))</f>
        <v>800</v>
      </c>
      <c r="X96" s="256"/>
      <c r="Y96" s="256"/>
      <c r="Z96" s="5" t="str">
        <f>IF(AW87=FALSE,"","＝")</f>
        <v>＝</v>
      </c>
      <c r="AA96" s="246">
        <f ca="1">IF(AW87=FALSE,"",IF(OR($N$24=""),"",ROUND(+$J$96*$N$96,0)+ROUND($R$96*$W$96,0)))</f>
        <v>84360</v>
      </c>
      <c r="AB96" s="246"/>
      <c r="AC96" s="246"/>
      <c r="AD96" s="246"/>
      <c r="AE96" s="246"/>
      <c r="AF96" s="246"/>
      <c r="AG96" s="246"/>
      <c r="AH96" s="10" t="str">
        <f>IF(AW87=FALSE,"","上限額⑦ ")</f>
        <v xml:space="preserve">上限額⑦ </v>
      </c>
      <c r="AJ96" s="1"/>
      <c r="AK96" s="1"/>
      <c r="AL96" s="1"/>
      <c r="AM96" s="1"/>
      <c r="AN96" s="1"/>
      <c r="AO96" s="1"/>
      <c r="AP96" s="1"/>
      <c r="AQ96" s="1"/>
      <c r="AR96" s="1"/>
      <c r="AW96" s="30">
        <v>7</v>
      </c>
      <c r="AX96" s="30" t="s">
        <v>129</v>
      </c>
    </row>
    <row r="97" spans="2:55">
      <c r="N97" s="18"/>
      <c r="O97" s="18"/>
      <c r="P97" s="18"/>
      <c r="R97" s="192"/>
      <c r="S97" s="1"/>
      <c r="AJ97" s="18"/>
      <c r="AK97" s="18"/>
      <c r="AL97" s="18"/>
      <c r="AM97" s="18"/>
      <c r="AN97" s="18"/>
      <c r="AO97" s="18"/>
      <c r="AP97" s="18"/>
      <c r="AQ97" s="18"/>
      <c r="AR97" s="18"/>
      <c r="AW97" s="30">
        <v>8</v>
      </c>
      <c r="AX97" s="30" t="s">
        <v>130</v>
      </c>
    </row>
    <row r="98" spans="2:55">
      <c r="J98" s="246">
        <f ca="1">IF(AW87=FALSE,"",+$Q$91)</f>
        <v>2130</v>
      </c>
      <c r="K98" s="246"/>
      <c r="L98" s="246"/>
      <c r="M98" s="5" t="str">
        <f>IF(AW87=FALSE,"","×")</f>
        <v>×</v>
      </c>
      <c r="N98" s="251">
        <f>IF(AW87=FALSE,"",+AC18)</f>
        <v>17</v>
      </c>
      <c r="O98" s="251"/>
      <c r="P98" s="251"/>
      <c r="Q98" s="5" t="str">
        <f>IF(AW87=FALSE,"","＋")</f>
        <v>＋</v>
      </c>
      <c r="R98" s="246">
        <f ca="1">IF(AW87=FALSE,"",+Q93)</f>
        <v>30</v>
      </c>
      <c r="S98" s="246"/>
      <c r="T98" s="246"/>
      <c r="U98" s="246"/>
      <c r="V98" s="5" t="str">
        <f>IF(AW87=FALSE,"","×")</f>
        <v>×</v>
      </c>
      <c r="W98" s="256">
        <f>IF(AW87=FALSE,"",IF($T$24="",$N$24,$T$24))</f>
        <v>800</v>
      </c>
      <c r="X98" s="256"/>
      <c r="Y98" s="256"/>
      <c r="Z98" s="5" t="str">
        <f>IF(AW87=FALSE,"","＝")</f>
        <v>＝</v>
      </c>
      <c r="AA98" s="246">
        <f ca="1">IF(AW87=FALSE,"",IF(OR($N$24=""),"",ROUND(+$J$98*$N$98,0)+ROUND($R$98*$W$98,0)))</f>
        <v>60210</v>
      </c>
      <c r="AB98" s="246"/>
      <c r="AC98" s="246"/>
      <c r="AD98" s="246"/>
      <c r="AE98" s="246"/>
      <c r="AF98" s="246"/>
      <c r="AG98" s="246"/>
      <c r="AH98" s="10" t="str">
        <f>IF(AW87=FALSE,"","下限額⑧")</f>
        <v>下限額⑧</v>
      </c>
      <c r="AJ98" s="18"/>
      <c r="AK98" s="18"/>
      <c r="AL98" s="18"/>
      <c r="AM98" s="18"/>
      <c r="AN98" s="18"/>
      <c r="AO98" s="18"/>
      <c r="AP98" s="18"/>
      <c r="AQ98" s="18"/>
      <c r="AR98" s="18"/>
      <c r="AW98" s="30">
        <v>9</v>
      </c>
      <c r="AX98" s="30" t="s">
        <v>132</v>
      </c>
    </row>
    <row r="99" spans="2:55" ht="18.75">
      <c r="N99" s="6"/>
      <c r="O99" s="6"/>
      <c r="P99" s="6"/>
      <c r="R99" s="198"/>
      <c r="S99" s="16"/>
      <c r="AJ99" s="6"/>
      <c r="AK99" s="6"/>
      <c r="AL99" s="6"/>
      <c r="AM99" s="6"/>
      <c r="AN99" s="6"/>
      <c r="AO99" s="6"/>
      <c r="AP99" s="6"/>
      <c r="AQ99" s="6"/>
      <c r="AR99" s="6"/>
      <c r="AW99" s="30">
        <v>10</v>
      </c>
      <c r="AX99" s="30" t="s">
        <v>131</v>
      </c>
    </row>
    <row r="100" spans="2:55">
      <c r="G100" s="44"/>
      <c r="H100" s="44"/>
      <c r="I100" s="44"/>
      <c r="J100" s="44"/>
      <c r="K100" s="44"/>
      <c r="R100" s="240"/>
      <c r="S100" s="240"/>
      <c r="T100" s="240"/>
      <c r="U100" s="240"/>
      <c r="V100" s="240"/>
      <c r="X100" s="240"/>
      <c r="Y100" s="240"/>
      <c r="Z100" s="240"/>
      <c r="AA100" s="240"/>
      <c r="AB100" s="240"/>
      <c r="AD100" s="240"/>
      <c r="AE100" s="240"/>
      <c r="AF100" s="240"/>
      <c r="AG100" s="240"/>
      <c r="AH100" s="240"/>
      <c r="AI100" s="240"/>
      <c r="AK100" s="240"/>
      <c r="AL100" s="240"/>
      <c r="AM100" s="240"/>
      <c r="AN100" s="240"/>
      <c r="AO100" s="240"/>
      <c r="AP100" s="240"/>
      <c r="AQ100" s="240"/>
    </row>
    <row r="101" spans="2:55" ht="13.5" customHeight="1">
      <c r="B101" s="250" t="s">
        <v>7</v>
      </c>
      <c r="C101" s="250"/>
      <c r="D101" s="250"/>
      <c r="E101" s="250"/>
      <c r="F101" s="44"/>
      <c r="G101" s="44"/>
      <c r="H101" s="254" t="s">
        <v>48</v>
      </c>
      <c r="I101" s="254"/>
      <c r="J101" s="254"/>
      <c r="K101" s="254"/>
      <c r="L101" s="238">
        <f ca="1">IF(ISERROR(+R$105+X$105+AD$105+AK$105),"",+R$105+X$105+AD$105+AK$105)</f>
        <v>433424</v>
      </c>
      <c r="M101" s="238"/>
      <c r="N101" s="238"/>
      <c r="O101" s="238"/>
      <c r="P101" s="238"/>
      <c r="Q101" s="117"/>
      <c r="R101" s="240" t="s">
        <v>1</v>
      </c>
      <c r="S101" s="240"/>
      <c r="T101" s="240"/>
      <c r="U101" s="240"/>
      <c r="V101" s="240"/>
      <c r="W101" s="5" t="s">
        <v>122</v>
      </c>
      <c r="X101" s="240" t="s">
        <v>28</v>
      </c>
      <c r="Y101" s="240"/>
      <c r="Z101" s="240"/>
      <c r="AA101" s="240"/>
      <c r="AB101" s="240"/>
      <c r="AC101" s="5" t="s">
        <v>122</v>
      </c>
      <c r="AD101" s="240" t="s">
        <v>29</v>
      </c>
      <c r="AE101" s="240"/>
      <c r="AF101" s="240"/>
      <c r="AG101" s="240"/>
      <c r="AH101" s="240"/>
      <c r="AI101" s="240"/>
      <c r="AJ101" s="5" t="s">
        <v>122</v>
      </c>
      <c r="AK101" s="240" t="s">
        <v>30</v>
      </c>
      <c r="AL101" s="240"/>
      <c r="AM101" s="240"/>
      <c r="AN101" s="240"/>
      <c r="AO101" s="240"/>
      <c r="AP101" s="240"/>
      <c r="AQ101" s="240"/>
      <c r="AR101" s="117"/>
      <c r="AS101" s="117"/>
    </row>
    <row r="102" spans="2:55" ht="5.25" customHeight="1">
      <c r="B102" s="250"/>
      <c r="C102" s="250"/>
      <c r="D102" s="250"/>
      <c r="E102" s="250"/>
      <c r="F102" s="114"/>
      <c r="G102" s="114"/>
      <c r="H102" s="114"/>
      <c r="I102" s="114"/>
      <c r="J102" s="114"/>
      <c r="K102" s="114"/>
    </row>
    <row r="103" spans="2:55">
      <c r="F103" s="254" t="s">
        <v>47</v>
      </c>
      <c r="G103" s="254"/>
      <c r="H103" s="254"/>
      <c r="I103" s="254"/>
      <c r="J103" s="254"/>
      <c r="K103" s="254"/>
      <c r="L103" s="255">
        <f ca="1">IF(ISERROR(ROUND(+L101*0.08,0)),"",ROUND(+L101*0.08,0))</f>
        <v>34674</v>
      </c>
      <c r="M103" s="255"/>
      <c r="N103" s="255"/>
      <c r="O103" s="255"/>
      <c r="P103" s="255"/>
      <c r="Q103" s="45"/>
      <c r="R103" s="240" t="s">
        <v>139</v>
      </c>
      <c r="S103" s="240"/>
      <c r="T103" s="240"/>
      <c r="U103" s="240"/>
      <c r="V103" s="240"/>
      <c r="X103" s="240" t="s">
        <v>117</v>
      </c>
      <c r="Y103" s="240"/>
      <c r="Z103" s="240"/>
      <c r="AA103" s="240"/>
      <c r="AB103" s="240"/>
      <c r="AC103" s="44"/>
      <c r="AD103" s="240" t="s">
        <v>118</v>
      </c>
      <c r="AE103" s="240"/>
      <c r="AF103" s="240"/>
      <c r="AG103" s="240"/>
      <c r="AH103" s="240"/>
      <c r="AI103" s="240"/>
      <c r="AJ103" s="44"/>
      <c r="AK103" s="240" t="s">
        <v>119</v>
      </c>
      <c r="AL103" s="240"/>
      <c r="AM103" s="240"/>
      <c r="AN103" s="240"/>
      <c r="AO103" s="240"/>
      <c r="AP103" s="240"/>
      <c r="AQ103" s="240"/>
      <c r="AR103" s="66"/>
      <c r="AS103" s="22"/>
      <c r="AW103" s="228"/>
    </row>
    <row r="104" spans="2:55" ht="5.25" customHeight="1" thickBot="1">
      <c r="F104" s="114"/>
      <c r="G104" s="114"/>
      <c r="H104" s="114"/>
      <c r="I104" s="114"/>
      <c r="J104" s="114"/>
      <c r="K104" s="114"/>
      <c r="L104" s="67"/>
      <c r="M104" s="67"/>
      <c r="N104" s="67"/>
      <c r="O104" s="67"/>
      <c r="P104" s="67"/>
      <c r="AQ104" s="1"/>
    </row>
    <row r="105" spans="2:55" ht="6.75" customHeight="1" thickTop="1">
      <c r="F105" s="241" t="s">
        <v>49</v>
      </c>
      <c r="G105" s="241"/>
      <c r="H105" s="241"/>
      <c r="I105" s="241"/>
      <c r="J105" s="241"/>
      <c r="K105" s="241"/>
      <c r="L105" s="274">
        <f ca="1">IF(ISERROR(+L101+L103),"",+L101+L103)</f>
        <v>468098</v>
      </c>
      <c r="M105" s="274"/>
      <c r="N105" s="274"/>
      <c r="O105" s="274"/>
      <c r="P105" s="274"/>
      <c r="R105" s="271">
        <f ca="1">IF(AF31&gt;AB38,AB38,AF31)</f>
        <v>230160</v>
      </c>
      <c r="S105" s="271"/>
      <c r="T105" s="271"/>
      <c r="U105" s="271"/>
      <c r="V105" s="271"/>
      <c r="W105" s="115" t="s">
        <v>19</v>
      </c>
      <c r="X105" s="272">
        <f ca="1">IF(AQ18=0,0,AI48)</f>
        <v>3824</v>
      </c>
      <c r="Y105" s="272"/>
      <c r="Z105" s="272"/>
      <c r="AA105" s="272"/>
      <c r="AB105" s="272"/>
      <c r="AC105" s="115" t="s">
        <v>19</v>
      </c>
      <c r="AD105" s="272">
        <f ca="1">IF(AW71=FALSE,0,+T78)</f>
        <v>115080</v>
      </c>
      <c r="AE105" s="272"/>
      <c r="AF105" s="272"/>
      <c r="AG105" s="272"/>
      <c r="AH105" s="272"/>
      <c r="AI105" s="272"/>
      <c r="AJ105" s="115" t="s">
        <v>19</v>
      </c>
      <c r="AK105" s="272">
        <f ca="1">IF(AW87=FALSE,0,AA96)</f>
        <v>84360</v>
      </c>
      <c r="AL105" s="272"/>
      <c r="AM105" s="272"/>
      <c r="AN105" s="272"/>
      <c r="AO105" s="272"/>
      <c r="AP105" s="272"/>
      <c r="AQ105" s="44"/>
    </row>
    <row r="106" spans="2:55" ht="13.5" customHeight="1">
      <c r="F106" s="269"/>
      <c r="G106" s="269"/>
      <c r="H106" s="269"/>
      <c r="I106" s="269"/>
      <c r="J106" s="269"/>
      <c r="K106" s="269"/>
      <c r="L106" s="275"/>
      <c r="M106" s="275"/>
      <c r="N106" s="275"/>
      <c r="O106" s="275"/>
      <c r="P106" s="275"/>
      <c r="Q106" s="68"/>
      <c r="R106" s="206"/>
      <c r="S106" s="69"/>
      <c r="T106" s="69"/>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70"/>
      <c r="AS106" s="71"/>
      <c r="AT106" s="71"/>
    </row>
    <row r="107" spans="2:55"/>
    <row r="108" spans="2:55">
      <c r="F108" s="44"/>
      <c r="G108" s="44"/>
      <c r="H108" s="44"/>
      <c r="I108" s="44"/>
      <c r="J108" s="44"/>
      <c r="K108" s="44"/>
      <c r="L108" s="44"/>
      <c r="M108" s="44"/>
      <c r="N108" s="44"/>
      <c r="O108" s="44"/>
      <c r="P108" s="44"/>
      <c r="Q108" s="44"/>
      <c r="R108" s="240"/>
      <c r="S108" s="240"/>
      <c r="T108" s="240"/>
      <c r="U108" s="240"/>
      <c r="V108" s="240"/>
      <c r="X108" s="240"/>
      <c r="Y108" s="240"/>
      <c r="Z108" s="240"/>
      <c r="AA108" s="240"/>
      <c r="AB108" s="240"/>
      <c r="AD108" s="240"/>
      <c r="AE108" s="240"/>
      <c r="AF108" s="240"/>
      <c r="AG108" s="240"/>
      <c r="AH108" s="240"/>
      <c r="AI108" s="240"/>
      <c r="AK108" s="240"/>
      <c r="AL108" s="240"/>
      <c r="AM108" s="240"/>
      <c r="AN108" s="240"/>
      <c r="AO108" s="240"/>
      <c r="AP108" s="240"/>
      <c r="AQ108" s="240"/>
      <c r="AV108" s="25"/>
      <c r="BA108" s="178"/>
    </row>
    <row r="109" spans="2:55" ht="13.5" customHeight="1">
      <c r="B109" s="250" t="s">
        <v>135</v>
      </c>
      <c r="C109" s="250"/>
      <c r="D109" s="250"/>
      <c r="E109" s="250"/>
      <c r="F109" s="44"/>
      <c r="G109" s="44"/>
      <c r="H109" s="254" t="s">
        <v>48</v>
      </c>
      <c r="I109" s="254"/>
      <c r="J109" s="254"/>
      <c r="K109" s="254"/>
      <c r="L109" s="238">
        <f ca="1">IF(ISERROR(+R$113+X$113+AD$113+AK$113),"",+R$113+X$113+AD$113+AK$113)</f>
        <v>216540</v>
      </c>
      <c r="M109" s="238"/>
      <c r="N109" s="238"/>
      <c r="O109" s="238"/>
      <c r="P109" s="238"/>
      <c r="Q109" s="44"/>
      <c r="R109" s="240" t="s">
        <v>1</v>
      </c>
      <c r="S109" s="240"/>
      <c r="T109" s="240"/>
      <c r="U109" s="240"/>
      <c r="V109" s="240"/>
      <c r="W109" s="5" t="s">
        <v>122</v>
      </c>
      <c r="X109" s="240" t="s">
        <v>28</v>
      </c>
      <c r="Y109" s="240"/>
      <c r="Z109" s="240"/>
      <c r="AA109" s="240"/>
      <c r="AB109" s="240"/>
      <c r="AC109" s="5" t="s">
        <v>122</v>
      </c>
      <c r="AD109" s="240" t="s">
        <v>29</v>
      </c>
      <c r="AE109" s="240"/>
      <c r="AF109" s="240"/>
      <c r="AG109" s="240"/>
      <c r="AH109" s="240"/>
      <c r="AI109" s="240"/>
      <c r="AJ109" s="5" t="s">
        <v>122</v>
      </c>
      <c r="AK109" s="240" t="s">
        <v>30</v>
      </c>
      <c r="AL109" s="240"/>
      <c r="AM109" s="240"/>
      <c r="AN109" s="240"/>
      <c r="AO109" s="240"/>
      <c r="AP109" s="240"/>
      <c r="AQ109" s="240"/>
      <c r="AR109" s="117"/>
      <c r="AS109" s="117"/>
      <c r="AT109" s="117"/>
      <c r="AU109" s="117"/>
      <c r="AV109" s="126"/>
      <c r="AX109" s="229"/>
      <c r="AY109" s="229"/>
      <c r="AZ109" s="229"/>
      <c r="BA109" s="229"/>
    </row>
    <row r="110" spans="2:55" ht="5.25" customHeight="1">
      <c r="B110" s="250"/>
      <c r="C110" s="250"/>
      <c r="D110" s="250"/>
      <c r="E110" s="250"/>
      <c r="F110" s="114"/>
      <c r="G110" s="114"/>
      <c r="H110" s="114"/>
      <c r="I110" s="114"/>
      <c r="J110" s="114"/>
      <c r="K110" s="114"/>
      <c r="Q110" s="114"/>
      <c r="R110" s="240"/>
      <c r="S110" s="240"/>
      <c r="T110" s="240"/>
      <c r="U110" s="240"/>
      <c r="V110" s="240"/>
      <c r="X110" s="240"/>
      <c r="Y110" s="240"/>
      <c r="Z110" s="240"/>
      <c r="AA110" s="240"/>
      <c r="AB110" s="240"/>
      <c r="AD110" s="240"/>
      <c r="AE110" s="240"/>
      <c r="AF110" s="240"/>
      <c r="AG110" s="240"/>
      <c r="AH110" s="240"/>
      <c r="AI110" s="240"/>
      <c r="AK110" s="240"/>
      <c r="AL110" s="240"/>
      <c r="AM110" s="240"/>
      <c r="AN110" s="240"/>
      <c r="AO110" s="240"/>
      <c r="AP110" s="240"/>
      <c r="AQ110" s="240"/>
    </row>
    <row r="111" spans="2:55">
      <c r="F111" s="254" t="s">
        <v>47</v>
      </c>
      <c r="G111" s="254"/>
      <c r="H111" s="254"/>
      <c r="I111" s="254"/>
      <c r="J111" s="254"/>
      <c r="K111" s="254"/>
      <c r="L111" s="255">
        <f ca="1">IF(ISERROR(ROUND(+L109*0.08,0)),"",ROUND(+L109*0.08,0))</f>
        <v>17323</v>
      </c>
      <c r="M111" s="255"/>
      <c r="N111" s="255"/>
      <c r="O111" s="255"/>
      <c r="P111" s="255"/>
      <c r="Q111" s="114"/>
      <c r="R111" s="240" t="s">
        <v>120</v>
      </c>
      <c r="S111" s="240"/>
      <c r="T111" s="240"/>
      <c r="U111" s="240"/>
      <c r="V111" s="240"/>
      <c r="X111" s="240" t="s">
        <v>140</v>
      </c>
      <c r="Y111" s="240"/>
      <c r="Z111" s="240"/>
      <c r="AA111" s="240"/>
      <c r="AB111" s="240"/>
      <c r="AC111" s="44"/>
      <c r="AD111" s="240" t="s">
        <v>143</v>
      </c>
      <c r="AE111" s="240"/>
      <c r="AF111" s="240"/>
      <c r="AG111" s="240"/>
      <c r="AH111" s="240"/>
      <c r="AI111" s="240"/>
      <c r="AK111" s="240" t="s">
        <v>121</v>
      </c>
      <c r="AL111" s="240"/>
      <c r="AM111" s="240"/>
      <c r="AN111" s="240"/>
      <c r="AO111" s="240"/>
      <c r="AP111" s="240"/>
      <c r="AQ111" s="240"/>
      <c r="AR111" s="45"/>
      <c r="AS111" s="22"/>
      <c r="AT111" s="22"/>
      <c r="AU111" s="22"/>
      <c r="AV111" s="27"/>
      <c r="AW111" s="228"/>
      <c r="AX111" s="228"/>
      <c r="AY111" s="228"/>
      <c r="AZ111" s="228"/>
      <c r="BA111" s="228"/>
      <c r="BB111" s="228"/>
      <c r="BC111" s="228"/>
    </row>
    <row r="112" spans="2:55" ht="5.25" customHeight="1" thickBot="1">
      <c r="F112" s="114"/>
      <c r="G112" s="114"/>
      <c r="H112" s="114"/>
      <c r="I112" s="114"/>
      <c r="J112" s="114"/>
      <c r="K112" s="114"/>
      <c r="L112" s="67"/>
      <c r="M112" s="67"/>
      <c r="N112" s="67"/>
      <c r="O112" s="67"/>
      <c r="P112" s="67"/>
      <c r="Q112" s="114"/>
      <c r="AQ112" s="1"/>
    </row>
    <row r="113" spans="2:47" ht="6.75" customHeight="1" thickTop="1">
      <c r="F113" s="241" t="s">
        <v>49</v>
      </c>
      <c r="G113" s="241"/>
      <c r="H113" s="241"/>
      <c r="I113" s="241"/>
      <c r="J113" s="241"/>
      <c r="K113" s="241"/>
      <c r="L113" s="274">
        <f ca="1">IF(ISERROR(+L109+L111),"",+L109+L111)</f>
        <v>233863</v>
      </c>
      <c r="M113" s="274"/>
      <c r="N113" s="274"/>
      <c r="O113" s="274"/>
      <c r="P113" s="274"/>
      <c r="Q113" s="112"/>
      <c r="R113" s="271">
        <f ca="1">$AF$33</f>
        <v>156330</v>
      </c>
      <c r="S113" s="271"/>
      <c r="T113" s="271"/>
      <c r="U113" s="271"/>
      <c r="V113" s="271"/>
      <c r="W113" s="115" t="s">
        <v>19</v>
      </c>
      <c r="X113" s="272">
        <f>IF(AQ18=0,0,AI65)</f>
        <v>0</v>
      </c>
      <c r="Y113" s="272"/>
      <c r="Z113" s="272"/>
      <c r="AA113" s="272"/>
      <c r="AB113" s="272"/>
      <c r="AC113" s="115" t="s">
        <v>19</v>
      </c>
      <c r="AD113" s="272">
        <f ca="1">IF(AW71=FALSE,0,T82)</f>
        <v>0</v>
      </c>
      <c r="AE113" s="272"/>
      <c r="AF113" s="272"/>
      <c r="AG113" s="272"/>
      <c r="AH113" s="272"/>
      <c r="AI113" s="272"/>
      <c r="AJ113" s="115" t="s">
        <v>19</v>
      </c>
      <c r="AK113" s="272">
        <f ca="1">IF(AW87=FALSE,0,AA98)</f>
        <v>60210</v>
      </c>
      <c r="AL113" s="272"/>
      <c r="AM113" s="272"/>
      <c r="AN113" s="272"/>
      <c r="AO113" s="272"/>
      <c r="AP113" s="272"/>
      <c r="AQ113" s="44"/>
    </row>
    <row r="114" spans="2:47" ht="13.5" customHeight="1">
      <c r="F114" s="269"/>
      <c r="G114" s="269"/>
      <c r="H114" s="269"/>
      <c r="I114" s="269"/>
      <c r="J114" s="269"/>
      <c r="K114" s="269"/>
      <c r="L114" s="275"/>
      <c r="M114" s="275"/>
      <c r="N114" s="275"/>
      <c r="O114" s="275"/>
      <c r="P114" s="275"/>
      <c r="Q114" s="113"/>
      <c r="R114" s="206"/>
      <c r="S114" s="4"/>
      <c r="T114" s="4"/>
      <c r="U114" s="4"/>
      <c r="V114" s="4"/>
      <c r="W114" s="4"/>
      <c r="X114" s="4"/>
      <c r="Y114" s="4"/>
      <c r="Z114" s="4"/>
      <c r="AA114" s="4"/>
      <c r="AB114" s="4"/>
      <c r="AC114" s="4"/>
      <c r="AD114" s="4"/>
      <c r="AE114" s="4"/>
      <c r="AF114" s="4"/>
      <c r="AG114" s="4"/>
      <c r="AH114" s="4"/>
      <c r="AI114" s="4"/>
      <c r="AJ114" s="4"/>
      <c r="AK114" s="4"/>
      <c r="AL114" s="4"/>
      <c r="AM114" s="4"/>
      <c r="AN114" s="4"/>
      <c r="AO114" s="70"/>
      <c r="AP114" s="70"/>
      <c r="AQ114" s="70"/>
      <c r="AR114" s="10"/>
    </row>
    <row r="115" spans="2:47"/>
    <row r="116" spans="2:47" ht="21.75" customHeight="1">
      <c r="B116" s="72" t="str">
        <f ca="1">IF(L105="","","この運送の上限額は、")</f>
        <v>この運送の上限額は、</v>
      </c>
      <c r="C116" s="73"/>
      <c r="D116" s="73"/>
      <c r="E116" s="57"/>
      <c r="F116" s="57"/>
      <c r="G116" s="73"/>
      <c r="H116" s="73"/>
      <c r="I116" s="73"/>
      <c r="J116" s="57"/>
      <c r="K116" s="249">
        <f ca="1">IF(L105="","",L105)</f>
        <v>468098</v>
      </c>
      <c r="L116" s="249"/>
      <c r="M116" s="249"/>
      <c r="N116" s="249"/>
      <c r="O116" s="249"/>
      <c r="P116" s="249"/>
      <c r="Q116" s="137" t="str">
        <f ca="1">IF(L105="","","、下限額は")</f>
        <v>、下限額は</v>
      </c>
      <c r="R116" s="207"/>
      <c r="S116" s="73"/>
      <c r="T116" s="73"/>
      <c r="U116" s="73"/>
      <c r="V116" s="73"/>
      <c r="W116" s="249">
        <f ca="1">IF(L105="","",L113)</f>
        <v>233863</v>
      </c>
      <c r="X116" s="249"/>
      <c r="Y116" s="249"/>
      <c r="Z116" s="249"/>
      <c r="AA116" s="249"/>
      <c r="AB116" s="249"/>
      <c r="AC116" s="72" t="str">
        <f ca="1">IF(L105="","","です。")</f>
        <v>です。</v>
      </c>
      <c r="AD116" s="73"/>
      <c r="AE116" s="73"/>
      <c r="AF116" s="73"/>
      <c r="AG116" s="73"/>
      <c r="AH116" s="74"/>
      <c r="AI116" s="74"/>
      <c r="AJ116" s="74"/>
      <c r="AK116" s="74"/>
      <c r="AL116" s="74"/>
      <c r="AM116" s="74"/>
      <c r="AN116" s="74"/>
      <c r="AO116" s="74"/>
      <c r="AP116" s="74"/>
      <c r="AQ116" s="74"/>
      <c r="AR116" s="74"/>
      <c r="AS116" s="74"/>
      <c r="AT116" s="74"/>
      <c r="AU116" s="74"/>
    </row>
    <row r="117" spans="2:47" ht="21">
      <c r="B117" s="273" t="str">
        <f ca="1">IF(L105="","","実際の運賃・料金がこの範囲に収まっていない場合は、運賃料金の届出に違反しているおそれがあります。")</f>
        <v>実際の運賃・料金がこの範囲に収まっていない場合は、運賃料金の届出に違反しているおそれがあります。</v>
      </c>
      <c r="C117" s="273"/>
      <c r="D117" s="273"/>
      <c r="E117" s="273"/>
      <c r="F117" s="273"/>
      <c r="G117" s="273"/>
      <c r="H117" s="273"/>
      <c r="I117" s="273"/>
      <c r="J117" s="273"/>
      <c r="K117" s="273"/>
      <c r="L117" s="273"/>
      <c r="M117" s="273"/>
      <c r="N117" s="273"/>
      <c r="O117" s="273"/>
      <c r="P117" s="273"/>
      <c r="Q117" s="273"/>
      <c r="R117" s="273"/>
      <c r="S117" s="273"/>
      <c r="T117" s="273"/>
      <c r="U117" s="273"/>
      <c r="V117" s="273"/>
      <c r="W117" s="273"/>
      <c r="X117" s="273"/>
      <c r="Y117" s="273"/>
      <c r="Z117" s="273"/>
      <c r="AA117" s="273"/>
      <c r="AB117" s="273"/>
      <c r="AC117" s="273"/>
      <c r="AD117" s="273"/>
      <c r="AE117" s="273"/>
      <c r="AF117" s="273"/>
      <c r="AG117" s="273"/>
      <c r="AH117" s="273"/>
      <c r="AI117" s="273"/>
      <c r="AJ117" s="273"/>
      <c r="AK117" s="273"/>
      <c r="AL117" s="273"/>
      <c r="AM117" s="273"/>
      <c r="AN117" s="273"/>
      <c r="AO117" s="273"/>
      <c r="AP117" s="273"/>
      <c r="AQ117" s="273"/>
      <c r="AR117" s="273"/>
      <c r="AS117" s="273"/>
      <c r="AT117" s="273"/>
      <c r="AU117" s="273"/>
    </row>
    <row r="118" spans="2:47" ht="13.5" customHeight="1">
      <c r="B118" s="74"/>
      <c r="C118" s="74"/>
      <c r="D118" s="74"/>
      <c r="E118" s="74"/>
      <c r="F118" s="74"/>
      <c r="G118" s="74"/>
      <c r="H118" s="74"/>
      <c r="I118" s="74"/>
      <c r="J118" s="74"/>
      <c r="K118" s="74"/>
      <c r="L118" s="74"/>
      <c r="M118" s="74"/>
      <c r="N118" s="74"/>
      <c r="O118" s="74"/>
      <c r="P118" s="74"/>
      <c r="Q118" s="74"/>
      <c r="R118" s="208"/>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row>
    <row r="119" spans="2:47" ht="13.5" hidden="1" customHeight="1">
      <c r="B119" s="74"/>
      <c r="C119" s="74"/>
      <c r="D119" s="74"/>
      <c r="E119" s="74"/>
      <c r="F119" s="74"/>
      <c r="G119" s="74"/>
      <c r="H119" s="74"/>
      <c r="I119" s="74"/>
      <c r="J119" s="74"/>
      <c r="K119" s="74"/>
      <c r="L119" s="74"/>
      <c r="M119" s="74"/>
      <c r="N119" s="74"/>
      <c r="O119" s="74"/>
      <c r="P119" s="74"/>
      <c r="Q119" s="74"/>
      <c r="R119" s="208"/>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row>
    <row r="120" spans="2:47" hidden="1"/>
    <row r="121" spans="2:47" ht="39.75" hidden="1" customHeight="1"/>
  </sheetData>
  <sheetProtection password="C981" sheet="1" objects="1" scenarios="1" selectLockedCells="1"/>
  <protectedRanges>
    <protectedRange password="CA41" sqref="AQ16 P12 T12 P14 T14 P16 T16 AM16 N24 AM12 AQ12 AM14 AQ14 M43 Q43" name="範囲1"/>
    <protectedRange password="CA41" sqref="M74 Q74" name="範囲1_1"/>
  </protectedRanges>
  <mergeCells count="223">
    <mergeCell ref="AI48:AM48"/>
    <mergeCell ref="S50:T50"/>
    <mergeCell ref="N56:Q56"/>
    <mergeCell ref="S56:T56"/>
    <mergeCell ref="V56:Z56"/>
    <mergeCell ref="AB56:AF56"/>
    <mergeCell ref="N59:Q59"/>
    <mergeCell ref="S59:T59"/>
    <mergeCell ref="V59:Z59"/>
    <mergeCell ref="AB59:AF59"/>
    <mergeCell ref="H63:J63"/>
    <mergeCell ref="D65:J65"/>
    <mergeCell ref="AI65:AM65"/>
    <mergeCell ref="V50:Z50"/>
    <mergeCell ref="N50:Q50"/>
    <mergeCell ref="AB50:AF50"/>
    <mergeCell ref="H59:J59"/>
    <mergeCell ref="D61:J61"/>
    <mergeCell ref="AI61:AM61"/>
    <mergeCell ref="AI54:AM54"/>
    <mergeCell ref="G79:H79"/>
    <mergeCell ref="P82:R82"/>
    <mergeCell ref="P83:R83"/>
    <mergeCell ref="T83:Z83"/>
    <mergeCell ref="AE82:AG82"/>
    <mergeCell ref="AI82:AO82"/>
    <mergeCell ref="AP82:AR82"/>
    <mergeCell ref="T82:Z82"/>
    <mergeCell ref="J80:N80"/>
    <mergeCell ref="J82:N82"/>
    <mergeCell ref="J83:N83"/>
    <mergeCell ref="B117:AU117"/>
    <mergeCell ref="K116:P116"/>
    <mergeCell ref="AK105:AP105"/>
    <mergeCell ref="AD101:AI101"/>
    <mergeCell ref="X101:AB101"/>
    <mergeCell ref="R101:V101"/>
    <mergeCell ref="AK101:AQ101"/>
    <mergeCell ref="F113:K114"/>
    <mergeCell ref="AK111:AQ111"/>
    <mergeCell ref="R110:V110"/>
    <mergeCell ref="X110:AB110"/>
    <mergeCell ref="AD110:AI110"/>
    <mergeCell ref="AK110:AQ110"/>
    <mergeCell ref="AK103:AQ103"/>
    <mergeCell ref="R113:V113"/>
    <mergeCell ref="X113:AB113"/>
    <mergeCell ref="AD113:AI113"/>
    <mergeCell ref="AK113:AP113"/>
    <mergeCell ref="L113:P114"/>
    <mergeCell ref="R103:V103"/>
    <mergeCell ref="X103:AB103"/>
    <mergeCell ref="AD103:AI103"/>
    <mergeCell ref="L105:P106"/>
    <mergeCell ref="F103:K103"/>
    <mergeCell ref="R109:V109"/>
    <mergeCell ref="X109:AB109"/>
    <mergeCell ref="AD109:AI109"/>
    <mergeCell ref="F105:K106"/>
    <mergeCell ref="D88:U89"/>
    <mergeCell ref="AK109:AQ109"/>
    <mergeCell ref="R111:V111"/>
    <mergeCell ref="X111:AB111"/>
    <mergeCell ref="AD111:AI111"/>
    <mergeCell ref="AK108:AQ108"/>
    <mergeCell ref="H101:K101"/>
    <mergeCell ref="H109:K109"/>
    <mergeCell ref="G91:H91"/>
    <mergeCell ref="R105:V105"/>
    <mergeCell ref="X105:AB105"/>
    <mergeCell ref="AD105:AI105"/>
    <mergeCell ref="L103:P103"/>
    <mergeCell ref="M95:P95"/>
    <mergeCell ref="AA96:AG96"/>
    <mergeCell ref="Q93:S93"/>
    <mergeCell ref="AD108:AI108"/>
    <mergeCell ref="AK100:AQ100"/>
    <mergeCell ref="R100:V100"/>
    <mergeCell ref="X100:AB100"/>
    <mergeCell ref="AD100:AI100"/>
    <mergeCell ref="R98:U98"/>
    <mergeCell ref="W98:Y98"/>
    <mergeCell ref="AA98:AG98"/>
    <mergeCell ref="P80:R80"/>
    <mergeCell ref="T80:Z80"/>
    <mergeCell ref="Q74:R74"/>
    <mergeCell ref="AF78:AG78"/>
    <mergeCell ref="N61:Q61"/>
    <mergeCell ref="S61:T61"/>
    <mergeCell ref="V61:Z61"/>
    <mergeCell ref="AB61:AF61"/>
    <mergeCell ref="N63:Q63"/>
    <mergeCell ref="S63:T63"/>
    <mergeCell ref="V63:Z63"/>
    <mergeCell ref="AB63:AF63"/>
    <mergeCell ref="N65:Q65"/>
    <mergeCell ref="V65:Z65"/>
    <mergeCell ref="AB65:AF65"/>
    <mergeCell ref="T78:Z78"/>
    <mergeCell ref="D1:AA2"/>
    <mergeCell ref="K31:M31"/>
    <mergeCell ref="K30:M30"/>
    <mergeCell ref="J9:L9"/>
    <mergeCell ref="AJ16:AL16"/>
    <mergeCell ref="T24:V24"/>
    <mergeCell ref="B8:D9"/>
    <mergeCell ref="AF12:AG12"/>
    <mergeCell ref="AF14:AG14"/>
    <mergeCell ref="AF16:AG16"/>
    <mergeCell ref="AC18:AE18"/>
    <mergeCell ref="AB11:AG11"/>
    <mergeCell ref="N8:P8"/>
    <mergeCell ref="N22:P22"/>
    <mergeCell ref="N21:P21"/>
    <mergeCell ref="R22:T22"/>
    <mergeCell ref="R8:T8"/>
    <mergeCell ref="R9:T9"/>
    <mergeCell ref="N9:P9"/>
    <mergeCell ref="AQ18:AR18"/>
    <mergeCell ref="N24:P24"/>
    <mergeCell ref="V15:AJ15"/>
    <mergeCell ref="T12:U12"/>
    <mergeCell ref="P12:Q12"/>
    <mergeCell ref="L37:O37"/>
    <mergeCell ref="Q37:T37"/>
    <mergeCell ref="Y33:AB33"/>
    <mergeCell ref="AF33:AK33"/>
    <mergeCell ref="K33:M33"/>
    <mergeCell ref="P11:U11"/>
    <mergeCell ref="Y31:AB31"/>
    <mergeCell ref="O31:Q31"/>
    <mergeCell ref="Y30:AB30"/>
    <mergeCell ref="U31:W31"/>
    <mergeCell ref="AF31:AK31"/>
    <mergeCell ref="I35:K36"/>
    <mergeCell ref="L35:O35"/>
    <mergeCell ref="Q35:T35"/>
    <mergeCell ref="L36:O36"/>
    <mergeCell ref="Q36:T36"/>
    <mergeCell ref="V36:Z36"/>
    <mergeCell ref="U30:W30"/>
    <mergeCell ref="O33:Q33"/>
    <mergeCell ref="U33:W33"/>
    <mergeCell ref="R24:S24"/>
    <mergeCell ref="P14:Q14"/>
    <mergeCell ref="P16:Q16"/>
    <mergeCell ref="T14:U14"/>
    <mergeCell ref="T16:U16"/>
    <mergeCell ref="AB12:AC12"/>
    <mergeCell ref="AB14:AC14"/>
    <mergeCell ref="AB16:AC16"/>
    <mergeCell ref="AB38:AG38"/>
    <mergeCell ref="D48:J48"/>
    <mergeCell ref="N48:Q48"/>
    <mergeCell ref="S48:T48"/>
    <mergeCell ref="V48:Z48"/>
    <mergeCell ref="S46:T46"/>
    <mergeCell ref="N46:Q46"/>
    <mergeCell ref="N54:Q54"/>
    <mergeCell ref="M74:N74"/>
    <mergeCell ref="H52:J52"/>
    <mergeCell ref="G74:H74"/>
    <mergeCell ref="N52:Q52"/>
    <mergeCell ref="D54:J54"/>
    <mergeCell ref="S52:T52"/>
    <mergeCell ref="M43:N43"/>
    <mergeCell ref="AB48:AF48"/>
    <mergeCell ref="AB54:AF54"/>
    <mergeCell ref="AB52:AF52"/>
    <mergeCell ref="AB46:AF46"/>
    <mergeCell ref="Q43:R43"/>
    <mergeCell ref="H46:J46"/>
    <mergeCell ref="AB44:AE44"/>
    <mergeCell ref="V46:Z46"/>
    <mergeCell ref="S65:T65"/>
    <mergeCell ref="W116:AB116"/>
    <mergeCell ref="B101:E102"/>
    <mergeCell ref="B109:E110"/>
    <mergeCell ref="J98:L98"/>
    <mergeCell ref="N98:P98"/>
    <mergeCell ref="J96:L96"/>
    <mergeCell ref="J78:N78"/>
    <mergeCell ref="J77:N77"/>
    <mergeCell ref="W95:Y95"/>
    <mergeCell ref="J95:L95"/>
    <mergeCell ref="N96:P96"/>
    <mergeCell ref="R95:U95"/>
    <mergeCell ref="R96:U96"/>
    <mergeCell ref="M90:O90"/>
    <mergeCell ref="Q90:S90"/>
    <mergeCell ref="M91:O91"/>
    <mergeCell ref="M93:O93"/>
    <mergeCell ref="Q91:S91"/>
    <mergeCell ref="L109:P109"/>
    <mergeCell ref="F111:K111"/>
    <mergeCell ref="L111:P111"/>
    <mergeCell ref="R108:V108"/>
    <mergeCell ref="X108:AB108"/>
    <mergeCell ref="W96:Y96"/>
    <mergeCell ref="BE2:BJ2"/>
    <mergeCell ref="V17:AJ17"/>
    <mergeCell ref="L101:P101"/>
    <mergeCell ref="V52:Z52"/>
    <mergeCell ref="AJ44:AN44"/>
    <mergeCell ref="AG44:AH44"/>
    <mergeCell ref="V54:Z54"/>
    <mergeCell ref="AJ11:AR11"/>
    <mergeCell ref="AQ16:AR16"/>
    <mergeCell ref="AJ12:AL12"/>
    <mergeCell ref="AM12:AN12"/>
    <mergeCell ref="AJ14:AL14"/>
    <mergeCell ref="AM14:AN14"/>
    <mergeCell ref="V37:Z37"/>
    <mergeCell ref="AM16:AN16"/>
    <mergeCell ref="AQ12:AR12"/>
    <mergeCell ref="AO14:AP14"/>
    <mergeCell ref="AQ14:AR14"/>
    <mergeCell ref="AO12:AP12"/>
    <mergeCell ref="AO16:AP16"/>
    <mergeCell ref="V13:AJ13"/>
    <mergeCell ref="P77:R77"/>
    <mergeCell ref="P78:R78"/>
    <mergeCell ref="S54:T54"/>
  </mergeCells>
  <phoneticPr fontId="2"/>
  <conditionalFormatting sqref="M43:N43 Q43:R43">
    <cfRule type="expression" dxfId="22" priority="14">
      <formula>$AQ$18=0</formula>
    </cfRule>
  </conditionalFormatting>
  <conditionalFormatting sqref="AN57:AN69 AN54 AN48:AN49">
    <cfRule type="expression" dxfId="21" priority="12">
      <formula>$AQ$18=0</formula>
    </cfRule>
  </conditionalFormatting>
  <conditionalFormatting sqref="M74 Q74">
    <cfRule type="expression" dxfId="20" priority="9">
      <formula>$AW$71=FALSE</formula>
    </cfRule>
    <cfRule type="expression" dxfId="19" priority="10">
      <formula>$AW$71=FALSE</formula>
    </cfRule>
  </conditionalFormatting>
  <conditionalFormatting sqref="S50:T50 S56:T56">
    <cfRule type="cellIs" dxfId="18" priority="2" operator="equal">
      <formula>0</formula>
    </cfRule>
  </conditionalFormatting>
  <dataValidations count="38">
    <dataValidation type="whole" allowBlank="1" showInputMessage="1" showErrorMessage="1" errorTitle="警告" error="上限額と下限額の範囲内で設定してください！" sqref="BK18">
      <formula1>BN12</formula1>
      <formula2>BL12</formula2>
    </dataValidation>
    <dataValidation type="whole" allowBlank="1" showInputMessage="1" showErrorMessage="1" errorTitle="範囲外で設定されています！" error="上限額と下限額の範囲内で設定してください！" sqref="AM94">
      <formula1>CN94</formula1>
      <formula2>CL94</formula2>
    </dataValidation>
    <dataValidation type="whole" allowBlank="1" showInputMessage="1" showErrorMessage="1" errorTitle="範囲外で設定されています！" error="上限額と下限額の範囲内で設定してください！" sqref="AG9:AG10">
      <formula1>BW9</formula1>
      <formula2>BU9</formula2>
    </dataValidation>
    <dataValidation type="whole" allowBlank="1" showInputMessage="1" showErrorMessage="1" errorTitle="範囲外で設定されています！" error="上限額と下限額の範囲内で設定してください！" sqref="AF9:AF10">
      <formula1>BW9</formula1>
      <formula2>BU9</formula2>
    </dataValidation>
    <dataValidation type="whole" allowBlank="1" showInputMessage="1" showErrorMessage="1" errorTitle="範囲外で設定されています！" error="上限額と下限額の範囲内で設定してください！" sqref="AE9:AE10">
      <formula1>BW9</formula1>
      <formula2>BU9</formula2>
    </dataValidation>
    <dataValidation type="whole" allowBlank="1" showInputMessage="1" showErrorMessage="1" errorTitle="範囲外で設定されています！" error="上限額と下限額の範囲内で設定してください！" sqref="AD9:AD10">
      <formula1>BW9</formula1>
      <formula2>BU9</formula2>
    </dataValidation>
    <dataValidation type="whole" allowBlank="1" showInputMessage="1" showErrorMessage="1" errorTitle="範囲外で設定されています！" error="上限額と下限額の範囲内で設定してください！" sqref="AC9:AC10">
      <formula1>BW9</formula1>
      <formula2>BU9</formula2>
    </dataValidation>
    <dataValidation type="whole" allowBlank="1" showInputMessage="1" showErrorMessage="1" errorTitle="範囲外で設定されています！" error="上限額と下限額の範囲内で設定してください！" sqref="AB9:AB10">
      <formula1>BW9</formula1>
      <formula2>BU9</formula2>
    </dataValidation>
    <dataValidation type="whole" allowBlank="1" showInputMessage="1" showErrorMessage="1" errorTitle="範囲外で設定されています！" error="上限額と下限額の範囲内で設定してください！" sqref="AR94">
      <formula1>CN94</formula1>
      <formula2>CL94</formula2>
    </dataValidation>
    <dataValidation type="whole" allowBlank="1" showInputMessage="1" showErrorMessage="1" errorTitle="範囲外で設定されています！" error="上限額と下限額の範囲内で設定してください！" sqref="V9:Y10 AP94">
      <formula1>BT9</formula1>
      <formula2>BR9</formula2>
    </dataValidation>
    <dataValidation type="whole" allowBlank="1" showInputMessage="1" showErrorMessage="1" errorTitle="範囲外で設定されています！" error="上限額と下限額の範囲内で設定してください！" sqref="Z9:Z10 AQ94">
      <formula1>BW9</formula1>
      <formula2>BU9</formula2>
    </dataValidation>
    <dataValidation type="whole" allowBlank="1" showInputMessage="1" showErrorMessage="1" errorTitle="警告" error="上限額と下限額の範囲内で設定してください！" sqref="BK16:BK17">
      <formula1>BN11</formula1>
      <formula2>BL11</formula2>
    </dataValidation>
    <dataValidation type="whole" allowBlank="1" showInputMessage="1" showErrorMessage="1" errorTitle="範囲外で設定されています！" error="上限額と下限額の範囲内で設定してください！" sqref="AK9:AK10">
      <formula1>U9</formula1>
      <formula2>Q9</formula2>
    </dataValidation>
    <dataValidation type="whole" allowBlank="1" showInputMessage="1" showErrorMessage="1" errorTitle="範囲外で設定されています！" error="上限額と下限額の範囲内で設定してください！" sqref="AJ9:AJ10">
      <formula1>U9</formula1>
      <formula2>Q9</formula2>
    </dataValidation>
    <dataValidation type="whole" allowBlank="1" showInputMessage="1" showErrorMessage="1" errorTitle="範囲外で設定されています！" error="上限額と下限額の範囲内で設定してください！" sqref="S94">
      <formula1>T91</formula1>
      <formula2>P91</formula2>
    </dataValidation>
    <dataValidation type="whole" allowBlank="1" showInputMessage="1" showErrorMessage="1" errorTitle="範囲外で設定されています！" error="上限額と下限額の範囲内で設定してください！" sqref="R94">
      <formula1>T91</formula1>
      <formula2>P91</formula2>
    </dataValidation>
    <dataValidation type="whole" allowBlank="1" showInputMessage="1" showErrorMessage="1" errorTitle="範囲外で設定されています！" error="上限額と下限額の範囲内で設定してください！" sqref="P94">
      <formula1>T91</formula1>
      <formula2>P91</formula2>
    </dataValidation>
    <dataValidation type="whole" allowBlank="1" showInputMessage="1" showErrorMessage="1" errorTitle="範囲外で設定されています！" error="上限額と下限額の範囲内で設定してください！" sqref="N94">
      <formula1>T91</formula1>
      <formula2>P91</formula2>
    </dataValidation>
    <dataValidation type="whole" allowBlank="1" showInputMessage="1" showErrorMessage="1" errorTitle="範囲外で設定されています！" error="上限額と下限額の範囲内で設定してください！" sqref="S99">
      <formula1>AF95</formula1>
      <formula2>AB95</formula2>
    </dataValidation>
    <dataValidation type="whole" allowBlank="1" showInputMessage="1" showErrorMessage="1" errorTitle="範囲外で設定されています！" error="上限額と下限額の範囲内で設定してください！" sqref="R99">
      <formula1>AF95</formula1>
      <formula2>AB95</formula2>
    </dataValidation>
    <dataValidation type="whole" allowBlank="1" showInputMessage="1" showErrorMessage="1" errorTitle="範囲外で設定されています！" error="上限額と下限額の範囲内で設定してください！" sqref="AO94">
      <formula1>CN94</formula1>
      <formula2>CL94</formula2>
    </dataValidation>
    <dataValidation type="whole" allowBlank="1" showInputMessage="1" showErrorMessage="1" errorTitle="範囲外で設定されています！" error="上限額と下限額の範囲内で設定してください！" sqref="AN94">
      <formula1>CN94</formula1>
      <formula2>CL94</formula2>
    </dataValidation>
    <dataValidation type="whole" allowBlank="1" showInputMessage="1" showErrorMessage="1" errorTitle="範囲外で設定されています！" error="上限額と下限額の範囲内で設定してください！" sqref="AJ94:AK94">
      <formula1>CM94</formula1>
      <formula2>CK94</formula2>
    </dataValidation>
    <dataValidation type="whole" allowBlank="1" showInputMessage="1" showErrorMessage="1" errorTitle="範囲外で設定されています！" error="上限額と下限額の範囲内で設定してください！" sqref="AL94">
      <formula1>CN94</formula1>
      <formula2>CL94</formula2>
    </dataValidation>
    <dataValidation type="whole" allowBlank="1" showInputMessage="1" showErrorMessage="1" errorTitle="範囲外で設定されています！" error="上限額と下限額の範囲内で設定してください！" sqref="O94">
      <formula1>CN94</formula1>
      <formula2>CL94</formula2>
    </dataValidation>
    <dataValidation type="whole" allowBlank="1" showInputMessage="1" showErrorMessage="1" errorTitle="警告" error="上限額と下限額の範囲内で設定してください！" sqref="AZ21">
      <formula1>BN13</formula1>
      <formula2>#REF!</formula2>
    </dataValidation>
    <dataValidation type="whole" allowBlank="1" showInputMessage="1" showErrorMessage="1" errorTitle="範囲外で設定されています！" error="上限額と下限額の範囲内で設定してください！" sqref="AW23">
      <formula1>T22</formula1>
      <formula2>BM23</formula2>
    </dataValidation>
    <dataValidation type="whole" allowBlank="1" showInputMessage="1" showErrorMessage="1" errorTitle="範囲外で設定されています！" error="上限額と下限額の範囲内で設定してください！" sqref="AV23">
      <formula1>T22</formula1>
      <formula2>BM23</formula2>
    </dataValidation>
    <dataValidation type="whole" allowBlank="1" showInputMessage="1" showErrorMessage="1" errorTitle="警告" error="上限額と下限額の範囲内で設定してください！" sqref="BK19">
      <formula1>BN12</formula1>
      <formula2>#REF!</formula2>
    </dataValidation>
    <dataValidation type="whole" allowBlank="1" showInputMessage="1" showErrorMessage="1" errorTitle="警告" error="上限額と下限額の範囲内で設定してください！" sqref="AZ20">
      <formula1>BN13</formula1>
      <formula2>#REF!</formula2>
    </dataValidation>
    <dataValidation type="whole" allowBlank="1" showInputMessage="1" showErrorMessage="1" errorTitle="範囲外で設定されています！" error="上限額と下限額の範囲内で設定してください！" sqref="S97">
      <formula1>T93</formula1>
      <formula2>P93</formula2>
    </dataValidation>
    <dataValidation type="whole" allowBlank="1" showInputMessage="1" showErrorMessage="1" errorTitle="範囲外で設定されています！" error="上限額と下限額の範囲内で設定してください！" sqref="R97">
      <formula1>T93</formula1>
      <formula2>P93</formula2>
    </dataValidation>
    <dataValidation type="whole" operator="lessThanOrEqual" allowBlank="1" showInputMessage="1" showErrorMessage="1" errorTitle="５０％以内です！" error="割増率は５０％以内です！" sqref="M74 Q74">
      <formula1>50</formula1>
    </dataValidation>
    <dataValidation type="whole" operator="lessThanOrEqual" allowBlank="1" showInputMessage="1" showErrorMessage="1" errorTitle="２０％以内です！" error="割増率は２０％以内です！" sqref="M45 M43 Q43">
      <formula1>20</formula1>
    </dataValidation>
    <dataValidation type="whole" operator="notBetween" allowBlank="1" showInputMessage="1" showErrorMessage="1" errorTitle="最低３時間です" error="３時間未満の場合は、3時間となります。" sqref="P13 T13 T15 T17 P17">
      <formula1>1</formula1>
      <formula2>2</formula2>
    </dataValidation>
    <dataValidation type="whole" operator="greaterThanOrEqual" allowBlank="1" showInputMessage="1" showErrorMessage="1" errorTitle="最低３時間です" error="３時間未満の場合は、3時間となります。" sqref="W18 AV18:AW18">
      <formula1>3</formula1>
    </dataValidation>
    <dataValidation type="whole" operator="greaterThanOrEqual" allowBlank="1" showInputMessage="1" showErrorMessage="1" errorTitle="最低３時間です！" error="３時間未満の場合は、3時間となります！" sqref="BP14:BP15 BP18:BP19 BE20:BE21">
      <formula1>3</formula1>
    </dataValidation>
    <dataValidation allowBlank="1" showDropDown="1" showInputMessage="1" showErrorMessage="1" sqref="G6:H6"/>
  </dataValidations>
  <pageMargins left="0.70866141732283472" right="0.23" top="0.39370078740157483" bottom="0.23622047244094491" header="0.31496062992125984" footer="0.23622047244094491"/>
  <pageSetup paperSize="9" scale="57" orientation="portrait" r:id="rId1"/>
  <ignoredErrors>
    <ignoredError sqref="AW4" unlockedFormula="1"/>
  </ignoredErrors>
  <drawing r:id="rId2"/>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CV112"/>
  <sheetViews>
    <sheetView showGridLines="0" showRowColHeaders="0" tabSelected="1" zoomScale="75" zoomScaleNormal="75" workbookViewId="0">
      <selection activeCell="L11" sqref="L11:M11"/>
    </sheetView>
  </sheetViews>
  <sheetFormatPr defaultColWidth="0" defaultRowHeight="13.5" zeroHeight="1"/>
  <cols>
    <col min="1" max="2" width="4" style="5" customWidth="1"/>
    <col min="3" max="7" width="3.625" style="5" customWidth="1"/>
    <col min="8" max="9" width="3.125" style="5" customWidth="1"/>
    <col min="10" max="15" width="3.625" style="5" customWidth="1"/>
    <col min="16" max="17" width="2.625" style="5" customWidth="1"/>
    <col min="18" max="18" width="2.875" style="5" customWidth="1"/>
    <col min="19" max="19" width="4" style="5" customWidth="1"/>
    <col min="20" max="20" width="2.75" style="5" customWidth="1"/>
    <col min="21" max="21" width="3.5" style="5" customWidth="1"/>
    <col min="22" max="22" width="3.625" style="5" customWidth="1"/>
    <col min="23" max="24" width="3.125" style="5" customWidth="1"/>
    <col min="25" max="25" width="2.375" style="5" customWidth="1"/>
    <col min="26" max="26" width="3.125" style="5" customWidth="1"/>
    <col min="27" max="27" width="3" style="5" customWidth="1"/>
    <col min="28" max="29" width="2.625" style="5" customWidth="1"/>
    <col min="30" max="30" width="3.625" style="5" customWidth="1"/>
    <col min="31" max="31" width="2.125" style="5" customWidth="1"/>
    <col min="32" max="33" width="2.625" style="5" customWidth="1"/>
    <col min="34" max="35" width="3.625" style="5" customWidth="1"/>
    <col min="36" max="38" width="3" style="5" customWidth="1"/>
    <col min="39" max="39" width="2.625" style="5" customWidth="1"/>
    <col min="40" max="40" width="7" style="5" bestFit="1" customWidth="1"/>
    <col min="41" max="42" width="2.75" style="5" customWidth="1"/>
    <col min="43" max="44" width="3.125" style="5" customWidth="1"/>
    <col min="45" max="45" width="3.625" style="5" customWidth="1"/>
    <col min="46" max="48" width="3.875" style="5" customWidth="1"/>
    <col min="49" max="52" width="3.875" style="30" hidden="1" customWidth="1"/>
    <col min="53" max="53" width="7.125" style="30" hidden="1" customWidth="1"/>
    <col min="54" max="54" width="3.25" style="30" hidden="1" customWidth="1"/>
    <col min="55" max="55" width="7.125" style="37" hidden="1" customWidth="1"/>
    <col min="56" max="61" width="3.5" style="37" hidden="1" customWidth="1"/>
    <col min="62" max="67" width="3.625" style="37" hidden="1" customWidth="1"/>
    <col min="68" max="78" width="4.625" style="37" hidden="1" customWidth="1"/>
    <col min="79" max="79" width="4.375" style="37" hidden="1" customWidth="1"/>
    <col min="80" max="82" width="4.625" style="37" hidden="1" customWidth="1"/>
    <col min="83" max="95" width="3.625" style="37" hidden="1" customWidth="1"/>
    <col min="96" max="100" width="4.625" style="37" hidden="1" customWidth="1"/>
    <col min="101" max="16384" width="9" style="37" hidden="1"/>
  </cols>
  <sheetData>
    <row r="1" spans="1:95" ht="6.75" customHeight="1" thickBot="1">
      <c r="D1" s="292" t="s">
        <v>111</v>
      </c>
      <c r="E1" s="292"/>
      <c r="F1" s="292"/>
      <c r="G1" s="292"/>
      <c r="H1" s="292"/>
      <c r="I1" s="292"/>
      <c r="J1" s="292"/>
      <c r="K1" s="292"/>
      <c r="L1" s="292"/>
      <c r="M1" s="292"/>
      <c r="N1" s="292"/>
      <c r="O1" s="292"/>
      <c r="P1" s="292"/>
      <c r="Q1" s="292"/>
      <c r="R1" s="292"/>
      <c r="S1" s="292"/>
      <c r="T1" s="292"/>
      <c r="U1" s="292"/>
      <c r="V1" s="292"/>
      <c r="W1" s="292"/>
      <c r="X1" s="292"/>
      <c r="Y1" s="292"/>
      <c r="Z1" s="292"/>
      <c r="AA1" s="292"/>
    </row>
    <row r="2" spans="1:95" ht="21" customHeight="1" thickBot="1">
      <c r="D2" s="292"/>
      <c r="E2" s="292"/>
      <c r="F2" s="292"/>
      <c r="G2" s="292"/>
      <c r="H2" s="292"/>
      <c r="I2" s="292"/>
      <c r="J2" s="292"/>
      <c r="K2" s="292"/>
      <c r="L2" s="292"/>
      <c r="M2" s="292"/>
      <c r="N2" s="292"/>
      <c r="O2" s="292"/>
      <c r="P2" s="292"/>
      <c r="Q2" s="292"/>
      <c r="R2" s="292"/>
      <c r="S2" s="292"/>
      <c r="T2" s="292"/>
      <c r="U2" s="292"/>
      <c r="V2" s="292"/>
      <c r="W2" s="292"/>
      <c r="X2" s="292"/>
      <c r="Y2" s="292"/>
      <c r="Z2" s="292"/>
      <c r="AA2" s="292"/>
      <c r="AB2" s="31"/>
      <c r="AC2" s="32"/>
      <c r="AD2" s="33"/>
      <c r="AE2" s="34"/>
      <c r="AF2" s="35" t="s">
        <v>50</v>
      </c>
      <c r="AG2" s="35"/>
      <c r="AH2" s="35"/>
      <c r="AI2" s="35"/>
      <c r="AJ2" s="35"/>
      <c r="AK2" s="35"/>
      <c r="AL2" s="35"/>
      <c r="AM2" s="35"/>
      <c r="AN2" s="35"/>
      <c r="AO2" s="102"/>
      <c r="BH2" s="291"/>
      <c r="BI2" s="291"/>
      <c r="BJ2" s="291"/>
      <c r="BK2" s="291"/>
      <c r="BL2" s="291"/>
      <c r="BM2" s="291"/>
    </row>
    <row r="3" spans="1:95" ht="21" customHeight="1">
      <c r="D3" s="162"/>
      <c r="E3" s="162"/>
      <c r="F3" s="162"/>
      <c r="G3" s="162"/>
      <c r="H3" s="162"/>
      <c r="I3" s="162"/>
      <c r="J3" s="162"/>
      <c r="K3" s="162"/>
      <c r="L3" s="162"/>
      <c r="M3" s="162"/>
      <c r="N3" s="162"/>
      <c r="O3" s="162"/>
      <c r="P3" s="162"/>
      <c r="Q3" s="162"/>
      <c r="R3" s="162"/>
      <c r="S3" s="162"/>
      <c r="T3" s="162"/>
      <c r="U3" s="162"/>
      <c r="V3" s="162"/>
      <c r="W3" s="162"/>
      <c r="X3" s="162"/>
      <c r="Y3" s="162"/>
      <c r="Z3" s="162"/>
      <c r="AA3" s="162"/>
      <c r="AB3" s="31"/>
      <c r="AC3" s="36"/>
      <c r="AD3" s="36"/>
      <c r="AE3" s="36"/>
      <c r="AF3" s="35"/>
      <c r="AG3" s="35"/>
      <c r="AH3" s="35"/>
      <c r="AI3" s="35"/>
      <c r="AJ3" s="35"/>
      <c r="AK3" s="35"/>
      <c r="AL3" s="35"/>
      <c r="AM3" s="35"/>
      <c r="AN3" s="35"/>
      <c r="AO3" s="102"/>
      <c r="BH3" s="161"/>
      <c r="BI3" s="161"/>
      <c r="BJ3" s="161"/>
      <c r="BK3" s="161"/>
      <c r="BL3" s="161"/>
      <c r="BM3" s="161"/>
    </row>
    <row r="4" spans="1:95" ht="21" customHeight="1">
      <c r="C4" s="5" t="s">
        <v>92</v>
      </c>
      <c r="D4" s="162"/>
      <c r="E4" s="162"/>
      <c r="F4" s="162"/>
      <c r="G4" s="162"/>
      <c r="H4" s="162"/>
      <c r="I4" s="162"/>
      <c r="J4" s="162"/>
      <c r="K4" s="162"/>
      <c r="L4" s="162"/>
      <c r="M4" s="103"/>
      <c r="N4" s="103"/>
      <c r="O4" s="103"/>
      <c r="Q4" s="103"/>
      <c r="R4" s="162"/>
      <c r="S4" s="162"/>
      <c r="T4" s="162"/>
      <c r="U4" s="162"/>
      <c r="V4" s="162"/>
      <c r="W4" s="162"/>
      <c r="X4" s="162"/>
      <c r="Y4" s="162"/>
      <c r="Z4" s="162"/>
      <c r="AA4" s="162"/>
      <c r="AB4" s="31"/>
      <c r="AC4" s="36"/>
      <c r="AD4" s="36"/>
      <c r="AE4" s="36"/>
      <c r="AF4" s="35"/>
      <c r="AG4" s="35"/>
      <c r="AH4" s="35"/>
      <c r="AI4" s="35"/>
      <c r="AJ4" s="35"/>
      <c r="AK4" s="35"/>
      <c r="AL4" s="35"/>
      <c r="AM4" s="35"/>
      <c r="AN4" s="35"/>
      <c r="AO4" s="102"/>
      <c r="BH4" s="161"/>
      <c r="BI4" s="161"/>
      <c r="BJ4" s="161"/>
      <c r="BK4" s="161"/>
      <c r="BL4" s="161"/>
      <c r="BM4" s="161"/>
    </row>
    <row r="5" spans="1:95" ht="25.5">
      <c r="BC5" s="37">
        <v>3</v>
      </c>
      <c r="BD5" s="168" t="str">
        <f>VLOOKUP($BC$5,$BR$24:$BS$33,2,FALSE)</f>
        <v>関東</v>
      </c>
    </row>
    <row r="6" spans="1:95" ht="23.25" customHeight="1">
      <c r="D6" s="38" t="s">
        <v>0</v>
      </c>
      <c r="E6" s="39"/>
      <c r="G6" s="129"/>
      <c r="H6" s="129"/>
      <c r="I6" s="144"/>
      <c r="J6" s="144"/>
      <c r="K6" s="144"/>
      <c r="L6" s="144"/>
      <c r="M6" s="144"/>
      <c r="N6" s="144"/>
      <c r="O6" s="144"/>
      <c r="P6" s="144"/>
      <c r="Q6" s="144"/>
      <c r="R6" s="144"/>
      <c r="S6" s="144"/>
      <c r="T6" s="144"/>
      <c r="U6" s="23" t="s">
        <v>104</v>
      </c>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75"/>
      <c r="AX6" s="175"/>
      <c r="AY6" s="175"/>
      <c r="AZ6" s="175"/>
      <c r="BA6" s="175"/>
      <c r="BB6" s="175"/>
      <c r="BC6" s="75"/>
      <c r="BD6" s="75"/>
      <c r="BE6" s="75"/>
      <c r="BG6" s="167"/>
      <c r="BH6" s="167"/>
      <c r="BI6" s="167"/>
      <c r="BK6" s="167"/>
      <c r="BY6" s="322"/>
      <c r="BZ6" s="322"/>
      <c r="CA6" s="322"/>
      <c r="CK6" s="321" t="s">
        <v>64</v>
      </c>
      <c r="CL6" s="321"/>
      <c r="CM6" s="321"/>
      <c r="CN6" s="319">
        <v>8.3333333333333329E-2</v>
      </c>
      <c r="CO6" s="319"/>
      <c r="CP6" s="319"/>
      <c r="CQ6" s="104"/>
    </row>
    <row r="7" spans="1:95" ht="9" customHeight="1">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75"/>
      <c r="AX7" s="175"/>
      <c r="AY7" s="175"/>
      <c r="AZ7" s="175"/>
      <c r="BA7" s="175"/>
      <c r="BB7" s="175"/>
      <c r="BC7" s="75"/>
      <c r="BD7" s="75"/>
      <c r="BE7" s="75"/>
    </row>
    <row r="8" spans="1:95" ht="15.75" customHeight="1">
      <c r="B8" s="293" t="s">
        <v>36</v>
      </c>
      <c r="C8" s="293"/>
      <c r="D8" s="293"/>
      <c r="E8" s="41"/>
      <c r="F8" s="41"/>
      <c r="M8" s="76"/>
      <c r="O8" s="252" t="s">
        <v>14</v>
      </c>
      <c r="P8" s="252"/>
      <c r="Q8" s="252"/>
      <c r="R8" s="65"/>
      <c r="S8" s="252" t="s">
        <v>8</v>
      </c>
      <c r="T8" s="252"/>
      <c r="U8" s="252"/>
      <c r="V8" s="10"/>
      <c r="W8" s="10"/>
      <c r="X8" s="10"/>
      <c r="Y8" s="10"/>
      <c r="Z8" s="10"/>
      <c r="AA8" s="10"/>
      <c r="AB8" s="10"/>
      <c r="AC8" s="10"/>
      <c r="AD8" s="10"/>
      <c r="AE8" s="10"/>
      <c r="AF8" s="10"/>
      <c r="AG8" s="10"/>
      <c r="AH8" s="10"/>
      <c r="AJ8" s="10"/>
      <c r="AK8" s="10"/>
      <c r="AL8" s="10"/>
      <c r="AR8" s="10"/>
      <c r="AS8" s="10"/>
      <c r="AT8" s="10"/>
      <c r="AU8" s="10"/>
      <c r="AV8" s="10"/>
      <c r="AW8" s="37"/>
      <c r="AX8" s="37"/>
      <c r="AY8" s="37"/>
      <c r="AZ8" s="37"/>
      <c r="BA8" s="37"/>
      <c r="BB8" s="37"/>
    </row>
    <row r="9" spans="1:95" ht="19.5" customHeight="1">
      <c r="B9" s="293"/>
      <c r="C9" s="293"/>
      <c r="D9" s="293"/>
      <c r="E9" s="41"/>
      <c r="F9" s="41"/>
      <c r="G9" s="5" t="s">
        <v>24</v>
      </c>
      <c r="I9" s="151"/>
      <c r="J9" s="240" t="s">
        <v>17</v>
      </c>
      <c r="K9" s="240"/>
      <c r="L9" s="247"/>
      <c r="M9" s="77"/>
      <c r="N9" s="294">
        <f ca="1">VLOOKUP($BC$10,INDIRECT(BD5),3)</f>
        <v>6480</v>
      </c>
      <c r="O9" s="294"/>
      <c r="P9" s="294"/>
      <c r="Q9" s="294"/>
      <c r="R9" s="2" t="s">
        <v>67</v>
      </c>
      <c r="S9" s="295">
        <f ca="1">VLOOKUP($BC$10,INDIRECT(BD5),4)</f>
        <v>4490</v>
      </c>
      <c r="T9" s="295"/>
      <c r="U9" s="295"/>
      <c r="V9" s="295"/>
      <c r="W9" s="6"/>
      <c r="X9" s="6"/>
      <c r="Y9" s="6"/>
      <c r="Z9" s="6"/>
      <c r="AA9" s="6"/>
      <c r="AC9" s="6"/>
      <c r="AD9" s="6"/>
      <c r="AE9" s="6"/>
      <c r="AF9" s="6"/>
      <c r="AG9" s="6"/>
      <c r="AH9" s="6"/>
      <c r="AK9" s="16"/>
      <c r="AL9" s="16"/>
      <c r="AR9" s="10"/>
      <c r="AS9" s="10"/>
      <c r="AT9" s="10"/>
      <c r="AU9" s="10"/>
      <c r="AV9" s="10"/>
      <c r="AW9" s="37"/>
      <c r="AX9" s="37"/>
      <c r="AY9" s="37"/>
      <c r="AZ9" s="37"/>
      <c r="BA9" s="37"/>
      <c r="BB9" s="37"/>
      <c r="CC9" s="319">
        <v>1</v>
      </c>
      <c r="CD9" s="319"/>
      <c r="CE9" s="319"/>
    </row>
    <row r="10" spans="1:95" ht="27" customHeight="1" thickBot="1">
      <c r="A10" s="10"/>
      <c r="B10" s="10"/>
      <c r="C10" s="10"/>
      <c r="F10" s="288" t="s">
        <v>60</v>
      </c>
      <c r="G10" s="240"/>
      <c r="H10" s="240"/>
      <c r="I10" s="240"/>
      <c r="J10" s="240"/>
      <c r="K10" s="44"/>
      <c r="L10" s="44"/>
      <c r="M10" s="240" t="s">
        <v>72</v>
      </c>
      <c r="N10" s="240"/>
      <c r="O10" s="240"/>
      <c r="P10" s="290" t="s">
        <v>69</v>
      </c>
      <c r="Q10" s="290"/>
      <c r="R10" s="290"/>
      <c r="S10" s="290"/>
      <c r="T10" s="290"/>
      <c r="U10" s="254" t="s">
        <v>71</v>
      </c>
      <c r="V10" s="254"/>
      <c r="W10" s="254"/>
      <c r="X10" s="44"/>
      <c r="Y10" s="44"/>
      <c r="AA10" s="288" t="s">
        <v>61</v>
      </c>
      <c r="AB10" s="240"/>
      <c r="AC10" s="240"/>
      <c r="AD10" s="240"/>
      <c r="AE10" s="240"/>
      <c r="AF10" s="240" t="s">
        <v>59</v>
      </c>
      <c r="AG10" s="240"/>
      <c r="AH10" s="240"/>
      <c r="AI10" s="240"/>
      <c r="AJ10" s="240"/>
      <c r="AL10" s="18" t="s">
        <v>43</v>
      </c>
      <c r="AT10" s="45"/>
      <c r="AU10" s="79"/>
      <c r="BC10" s="37">
        <v>2</v>
      </c>
      <c r="BP10" s="321" t="s">
        <v>59</v>
      </c>
      <c r="BQ10" s="321"/>
      <c r="BR10" s="321"/>
      <c r="BS10" s="321"/>
      <c r="BT10" s="321"/>
      <c r="BU10" s="321"/>
      <c r="BV10" s="321"/>
      <c r="BW10" s="321"/>
      <c r="BY10" s="321" t="s">
        <v>63</v>
      </c>
      <c r="BZ10" s="321"/>
      <c r="CA10" s="321"/>
      <c r="CC10" s="37" t="s">
        <v>62</v>
      </c>
      <c r="CF10" s="321" t="s">
        <v>51</v>
      </c>
      <c r="CG10" s="321"/>
      <c r="CH10" s="321"/>
      <c r="CJ10" s="321" t="s">
        <v>52</v>
      </c>
      <c r="CK10" s="321"/>
      <c r="CL10" s="321"/>
    </row>
    <row r="11" spans="1:95" ht="18.75" customHeight="1" thickBot="1">
      <c r="A11" s="296">
        <v>0</v>
      </c>
      <c r="B11" s="296"/>
      <c r="C11" s="296"/>
      <c r="D11" s="7" t="s">
        <v>32</v>
      </c>
      <c r="E11" s="80"/>
      <c r="G11" s="289">
        <f>IF(AND($L11="",$O11=""),"",IF($L11=0,TIME(23,$O11,0),TIME($L11-1,$O11,0)))</f>
        <v>0.29166666666666669</v>
      </c>
      <c r="H11" s="289"/>
      <c r="I11" s="289"/>
      <c r="J11" s="240" t="s">
        <v>45</v>
      </c>
      <c r="K11" s="240"/>
      <c r="L11" s="298">
        <v>8</v>
      </c>
      <c r="M11" s="299"/>
      <c r="N11" s="5" t="s">
        <v>53</v>
      </c>
      <c r="O11" s="300">
        <v>0</v>
      </c>
      <c r="P11" s="301"/>
      <c r="Q11" s="44" t="s">
        <v>26</v>
      </c>
      <c r="R11" s="240" t="s">
        <v>54</v>
      </c>
      <c r="S11" s="240"/>
      <c r="T11" s="298">
        <v>23</v>
      </c>
      <c r="U11" s="299"/>
      <c r="V11" s="5" t="s">
        <v>53</v>
      </c>
      <c r="W11" s="300">
        <v>0</v>
      </c>
      <c r="X11" s="301"/>
      <c r="Y11" s="44" t="s">
        <v>26</v>
      </c>
      <c r="Z11" s="240" t="s">
        <v>54</v>
      </c>
      <c r="AA11" s="240"/>
      <c r="AB11" s="289">
        <f>IF(AND($T11="",$W11=""),"",TIME(T11+1,W11,0))</f>
        <v>0</v>
      </c>
      <c r="AC11" s="289"/>
      <c r="AD11" s="289"/>
      <c r="AE11" s="160"/>
      <c r="AF11" s="297">
        <f>IF(OR($G11="",$AB11=""),0,IF(OR($BP11&gt;20,AND($BP11=20,$BR11&gt;0)),"20時間を",IF($BR11=0,IF($BP11=0,0,IF($BP11&gt;5,$BP11,5)),IF($BP11&lt;5,5,$BP11))))</f>
        <v>17</v>
      </c>
      <c r="AG11" s="297"/>
      <c r="AH11" s="297"/>
      <c r="AI11" s="306">
        <f>IF(OR($G11="",AB11=""),0,IF($AF11="20時間を","超えています",IF($BP11&lt;5,0,$BR11)))</f>
        <v>0</v>
      </c>
      <c r="AJ11" s="306"/>
      <c r="AK11" s="306"/>
      <c r="AL11" s="306"/>
      <c r="AM11" s="81" t="s">
        <v>55</v>
      </c>
      <c r="AN11" s="302">
        <f>IF(AF11="20時間を",0,IF(OR($G11="",$AB11=""),0,HOUR($CC11)))</f>
        <v>2</v>
      </c>
      <c r="AO11" s="302"/>
      <c r="AP11" s="302"/>
      <c r="AQ11" s="317">
        <f>IF(AF11="20時間を",0,IF(OR($G11="",AB11=""),0,MINUTE($CC11)))</f>
        <v>0</v>
      </c>
      <c r="AR11" s="317"/>
      <c r="AS11" s="44" t="s">
        <v>56</v>
      </c>
      <c r="AT11" s="82"/>
      <c r="AU11" s="82"/>
      <c r="AV11" s="44"/>
      <c r="BP11" s="318">
        <f>IF(CJ11=CF11,26,HOUR(BY11)+2)</f>
        <v>17</v>
      </c>
      <c r="BQ11" s="318"/>
      <c r="BR11" s="320">
        <f>MINUTE(BU11)</f>
        <v>0</v>
      </c>
      <c r="BS11" s="320"/>
      <c r="BT11" s="166" t="s">
        <v>35</v>
      </c>
      <c r="BU11" s="319">
        <f>+BY11+$CN$6</f>
        <v>0.70833333333333337</v>
      </c>
      <c r="BV11" s="319"/>
      <c r="BW11" s="319"/>
      <c r="BX11" s="166"/>
      <c r="BY11" s="319">
        <f>CN11-CF11</f>
        <v>0.625</v>
      </c>
      <c r="BZ11" s="319"/>
      <c r="CA11" s="319"/>
      <c r="CC11" s="316">
        <f>BU11-(IF($AB11&gt;$G11,IF($G11&lt;$A$15,IF($AB11&lt;=$A$15,0,IF($AB11&lt;$A$14,$AB11-$A$15,$A$14-$A$15)),IF($G11&lt;$A$14,IF($AB11&lt;$A$14,$AB11-$G11,$A$14-$G11),0)),IF($G11&gt;=$A$14,IF($AB11&lt;$A$15,0,IF($AB11&lt;$A$14,$AB11-$A$15,$A$14-$A$15)),IF($G11&gt;$A$15,IF($AB11&lt;$A$15,$A$14-$G11,($A$14-$G11)+($AB11-$A$15)),$A$14-$A$15))))</f>
        <v>8.333333333333337E-2</v>
      </c>
      <c r="CD11" s="316"/>
      <c r="CF11" s="316">
        <f>IF(AND(L11="",O11=""),"",TIME($L11,$O11,0))</f>
        <v>0.33333333333333331</v>
      </c>
      <c r="CG11" s="316"/>
      <c r="CH11" s="316"/>
      <c r="CJ11" s="316">
        <f>IF(AND(T11="",W11=""),"",TIME($T11,$W11,0))</f>
        <v>0.95833333333333337</v>
      </c>
      <c r="CK11" s="316"/>
      <c r="CL11" s="316"/>
      <c r="CN11" s="319">
        <f>IF(CF11&gt;=CJ11,CJ11+$CC$9,CJ11)</f>
        <v>0.95833333333333337</v>
      </c>
      <c r="CO11" s="319"/>
      <c r="CP11" s="319"/>
    </row>
    <row r="12" spans="1:95" ht="15" customHeight="1" thickBot="1">
      <c r="A12" s="296">
        <v>4.1666666666666664E-2</v>
      </c>
      <c r="B12" s="296"/>
      <c r="C12" s="296"/>
      <c r="D12" s="83"/>
      <c r="E12" s="80"/>
      <c r="W12" s="305" t="str">
        <f>IF(OR($G11="",$AB11=""),"",IF($BP11&gt;=5,"",IF($BP11*60+$BR11&gt;0,"運転時間は最低３時間のため始業点呼・就業点呼の＋２時間で５時間となります","")))</f>
        <v/>
      </c>
      <c r="X12" s="305"/>
      <c r="Y12" s="305"/>
      <c r="Z12" s="305"/>
      <c r="AA12" s="305"/>
      <c r="AB12" s="305"/>
      <c r="AC12" s="305"/>
      <c r="AD12" s="305"/>
      <c r="AE12" s="305"/>
      <c r="AF12" s="305"/>
      <c r="AG12" s="305"/>
      <c r="AH12" s="305"/>
      <c r="AI12" s="305"/>
      <c r="AJ12" s="305"/>
      <c r="AK12" s="305"/>
      <c r="AL12" s="305"/>
      <c r="AM12" s="305"/>
      <c r="AN12" s="305"/>
      <c r="AP12" s="84"/>
      <c r="AQ12" s="85"/>
      <c r="AR12" s="85"/>
      <c r="BP12" s="105"/>
      <c r="BQ12" s="105"/>
      <c r="BR12" s="106"/>
      <c r="BS12" s="106"/>
      <c r="BT12" s="106"/>
      <c r="BU12" s="106"/>
      <c r="BV12" s="106"/>
      <c r="BW12" s="106"/>
      <c r="BX12" s="106"/>
      <c r="BY12" s="106"/>
      <c r="BZ12" s="106"/>
      <c r="CA12" s="106"/>
      <c r="CC12" s="107"/>
      <c r="CD12" s="107"/>
    </row>
    <row r="13" spans="1:95" ht="18.75" customHeight="1" thickBot="1">
      <c r="A13" s="11"/>
      <c r="B13" s="11"/>
      <c r="C13" s="11"/>
      <c r="D13" s="7" t="s">
        <v>31</v>
      </c>
      <c r="E13" s="80"/>
      <c r="G13" s="289" t="str">
        <f>IF(AND($L13="",$O13=""),"",IF($L13=0,TIME(23,$O13,0),TIME($L13-1,$O13,0)))</f>
        <v/>
      </c>
      <c r="H13" s="289"/>
      <c r="I13" s="289"/>
      <c r="J13" s="240" t="s">
        <v>57</v>
      </c>
      <c r="K13" s="240"/>
      <c r="L13" s="303"/>
      <c r="M13" s="304"/>
      <c r="N13" s="5" t="s">
        <v>53</v>
      </c>
      <c r="O13" s="300"/>
      <c r="P13" s="301"/>
      <c r="Q13" s="44" t="s">
        <v>26</v>
      </c>
      <c r="R13" s="240" t="s">
        <v>54</v>
      </c>
      <c r="S13" s="240"/>
      <c r="T13" s="307"/>
      <c r="U13" s="308"/>
      <c r="V13" s="5" t="s">
        <v>53</v>
      </c>
      <c r="W13" s="300"/>
      <c r="X13" s="301"/>
      <c r="Y13" s="44" t="s">
        <v>26</v>
      </c>
      <c r="Z13" s="240" t="s">
        <v>54</v>
      </c>
      <c r="AA13" s="240"/>
      <c r="AB13" s="289" t="str">
        <f>IF(AND($T13="",$W13=""),"",TIME(T13+1,W13,0))</f>
        <v/>
      </c>
      <c r="AC13" s="289"/>
      <c r="AD13" s="289"/>
      <c r="AE13" s="160"/>
      <c r="AF13" s="297">
        <f>IF(OR($G13="",$AB13=""),0,IF(OR($BP13&gt;20,AND($BP13=20,$BR13&gt;0)),"20時間を",IF($BR13=0,IF($BP13=0,0,IF($BP13&gt;5,$BP13,5)),IF($BP13&lt;5,5,$BP13))))</f>
        <v>0</v>
      </c>
      <c r="AG13" s="297"/>
      <c r="AH13" s="297"/>
      <c r="AI13" s="306">
        <f>IF(OR($G13="",AB13=""),0,IF($AF13="20時間を","超えています",IF($BP13&lt;5,0,$BR13)))</f>
        <v>0</v>
      </c>
      <c r="AJ13" s="306"/>
      <c r="AK13" s="306"/>
      <c r="AL13" s="306"/>
      <c r="AM13" s="81" t="s">
        <v>55</v>
      </c>
      <c r="AN13" s="302">
        <f>IF(AF13="20時間を",0,IF(OR($G13="",$AB13=""),0,HOUR($CC13)))</f>
        <v>0</v>
      </c>
      <c r="AO13" s="302"/>
      <c r="AP13" s="302"/>
      <c r="AQ13" s="317">
        <f>IF(AF13="20時間を",0,IF(OR($G13="",AB13=""),0,MINUTE($CC13)))</f>
        <v>0</v>
      </c>
      <c r="AR13" s="317"/>
      <c r="AS13" s="44" t="s">
        <v>58</v>
      </c>
      <c r="AT13" s="82"/>
      <c r="AU13" s="82"/>
      <c r="AV13" s="44"/>
      <c r="BP13" s="318">
        <f>IF(CJ13=CF13,26,HOUR(BY13)+2)</f>
        <v>26</v>
      </c>
      <c r="BQ13" s="318"/>
      <c r="BR13" s="320" t="e">
        <f>MINUTE(BU13)</f>
        <v>#VALUE!</v>
      </c>
      <c r="BS13" s="320"/>
      <c r="BT13" s="166" t="s">
        <v>35</v>
      </c>
      <c r="BU13" s="319" t="e">
        <f>+BY13+$CN$6</f>
        <v>#VALUE!</v>
      </c>
      <c r="BV13" s="319"/>
      <c r="BW13" s="319"/>
      <c r="BX13" s="166"/>
      <c r="BY13" s="319" t="e">
        <f>CN13-CF13</f>
        <v>#VALUE!</v>
      </c>
      <c r="BZ13" s="319"/>
      <c r="CA13" s="319"/>
      <c r="CC13" s="316" t="e">
        <f>BU13-(IF($AB13&gt;$G13,IF($G13&lt;$A$15,IF($AB13&lt;=$A$15,0,IF($AB13&lt;$A$14,$AB13-$A$15,$A$14-$A$15)),IF($G13&lt;$A$14,IF($AB13&lt;$A$14,$AB13-$G13,$A$14-$G13),0)),IF($G13&gt;=$A$14,IF($AB13&lt;$A$15,0,IF($AB13&lt;$A$14,$AB13-$A$15,$A$14-$A$15)),IF($G13&gt;$A$15,IF($AB13&lt;$A$15,$A$14-$G13,($A$14-$G13)+($AB13-$A$15)),$A$14-$A$15))))</f>
        <v>#VALUE!</v>
      </c>
      <c r="CD13" s="316"/>
      <c r="CF13" s="316" t="str">
        <f>IF(AND(L13="",O13=""),"",TIME($L13,$O13,0))</f>
        <v/>
      </c>
      <c r="CG13" s="316"/>
      <c r="CH13" s="316"/>
      <c r="CJ13" s="316" t="str">
        <f>IF(AND(T13="",W13=""),"",TIME($T13,$W13,0))</f>
        <v/>
      </c>
      <c r="CK13" s="316"/>
      <c r="CL13" s="316"/>
      <c r="CN13" s="319" t="e">
        <f>IF(CF13&gt;=CJ13,CJ13+$CC$9,CJ13)</f>
        <v>#VALUE!</v>
      </c>
      <c r="CO13" s="319"/>
      <c r="CP13" s="319"/>
    </row>
    <row r="14" spans="1:95" ht="15" customHeight="1" thickBot="1">
      <c r="A14" s="296">
        <v>0.91666666666666663</v>
      </c>
      <c r="B14" s="296"/>
      <c r="C14" s="296"/>
      <c r="D14" s="83"/>
      <c r="E14" s="80"/>
      <c r="W14" s="305" t="str">
        <f>IF(OR($G13="",$AB13=""),"",IF($BP13&gt;=5,"",IF($BP13*60+$BR13&gt;0,"運転時間は最低３時間のため始業点呼・就業点呼の＋２時間で５時間となります","")))</f>
        <v/>
      </c>
      <c r="X14" s="305"/>
      <c r="Y14" s="305"/>
      <c r="Z14" s="305"/>
      <c r="AA14" s="305"/>
      <c r="AB14" s="305"/>
      <c r="AC14" s="305"/>
      <c r="AD14" s="305"/>
      <c r="AE14" s="305"/>
      <c r="AF14" s="305"/>
      <c r="AG14" s="305"/>
      <c r="AH14" s="305"/>
      <c r="AI14" s="305"/>
      <c r="AJ14" s="305"/>
      <c r="AK14" s="305"/>
      <c r="AL14" s="305"/>
      <c r="AM14" s="305"/>
      <c r="AN14" s="305"/>
      <c r="AP14" s="84"/>
      <c r="AQ14" s="85"/>
      <c r="AR14" s="85"/>
      <c r="BP14" s="105"/>
      <c r="BQ14" s="105"/>
      <c r="BR14" s="106"/>
      <c r="BS14" s="106"/>
      <c r="BT14" s="106"/>
      <c r="BU14" s="106"/>
      <c r="BV14" s="106"/>
      <c r="BW14" s="106"/>
      <c r="BX14" s="106"/>
      <c r="BY14" s="106"/>
      <c r="BZ14" s="106"/>
      <c r="CA14" s="106"/>
      <c r="CC14" s="107"/>
      <c r="CD14" s="107"/>
    </row>
    <row r="15" spans="1:95" ht="18.75" customHeight="1" thickBot="1">
      <c r="A15" s="296">
        <v>0.20833333333333334</v>
      </c>
      <c r="B15" s="296"/>
      <c r="C15" s="296"/>
      <c r="D15" s="7" t="s">
        <v>33</v>
      </c>
      <c r="E15" s="80"/>
      <c r="G15" s="289" t="str">
        <f>IF(AND($L15="",$O15=""),"",IF($L15=0,TIME(23,$O15,0),TIME($L15-1,$O15,0)))</f>
        <v/>
      </c>
      <c r="H15" s="289"/>
      <c r="I15" s="289"/>
      <c r="J15" s="240" t="s">
        <v>54</v>
      </c>
      <c r="K15" s="240"/>
      <c r="L15" s="307"/>
      <c r="M15" s="308"/>
      <c r="N15" s="5" t="s">
        <v>53</v>
      </c>
      <c r="O15" s="300"/>
      <c r="P15" s="301"/>
      <c r="Q15" s="44" t="s">
        <v>26</v>
      </c>
      <c r="R15" s="240" t="s">
        <v>54</v>
      </c>
      <c r="S15" s="240"/>
      <c r="T15" s="307"/>
      <c r="U15" s="308"/>
      <c r="V15" s="5" t="s">
        <v>53</v>
      </c>
      <c r="W15" s="300"/>
      <c r="X15" s="301"/>
      <c r="Y15" s="44" t="s">
        <v>26</v>
      </c>
      <c r="Z15" s="240" t="s">
        <v>54</v>
      </c>
      <c r="AA15" s="240"/>
      <c r="AB15" s="289" t="str">
        <f>IF(AND($T15="",$W15=""),"",TIME(T15+1,W15,0))</f>
        <v/>
      </c>
      <c r="AC15" s="289"/>
      <c r="AD15" s="289"/>
      <c r="AE15" s="160"/>
      <c r="AF15" s="297">
        <f>IF(OR($G15="",$AB15=""),0,IF(OR($BP15&gt;20,AND($BP15=20,$BR15&gt;0)),"20時間を",IF($BR15=0,IF($BP15=0,0,IF($BP15&gt;5,$BP15,5)),IF($BP15&lt;5,5,$BP15))))</f>
        <v>0</v>
      </c>
      <c r="AG15" s="297"/>
      <c r="AH15" s="297"/>
      <c r="AI15" s="306">
        <f>IF(OR($G15="",AB15=""),0,IF($AF15="20時間を","超えています",IF($BP15&lt;5,0,$BR15)))</f>
        <v>0</v>
      </c>
      <c r="AJ15" s="306"/>
      <c r="AK15" s="306"/>
      <c r="AL15" s="306"/>
      <c r="AM15" s="81" t="s">
        <v>55</v>
      </c>
      <c r="AN15" s="302">
        <f>IF(AF15="20時間を",0,IF(OR($G15="",$AB15=""),0,HOUR($CC15)))</f>
        <v>0</v>
      </c>
      <c r="AO15" s="302"/>
      <c r="AP15" s="302"/>
      <c r="AQ15" s="317">
        <f>IF(AF15="20時間を",0,IF(OR($G15="",AB15=""),0,MINUTE($CC15)))</f>
        <v>0</v>
      </c>
      <c r="AR15" s="317"/>
      <c r="AS15" s="44" t="s">
        <v>58</v>
      </c>
      <c r="AT15" s="82"/>
      <c r="AU15" s="82"/>
      <c r="AV15" s="44"/>
      <c r="BP15" s="318">
        <f>IF(CJ15=CF15,26,HOUR(BY15)+2)</f>
        <v>26</v>
      </c>
      <c r="BQ15" s="318"/>
      <c r="BR15" s="320" t="e">
        <f>MINUTE(BU15)</f>
        <v>#VALUE!</v>
      </c>
      <c r="BS15" s="320"/>
      <c r="BT15" s="166" t="s">
        <v>35</v>
      </c>
      <c r="BU15" s="319" t="e">
        <f>+BY15+$CN$6</f>
        <v>#VALUE!</v>
      </c>
      <c r="BV15" s="319"/>
      <c r="BW15" s="319"/>
      <c r="BX15" s="166"/>
      <c r="BY15" s="319" t="e">
        <f>CN15-CF15</f>
        <v>#VALUE!</v>
      </c>
      <c r="BZ15" s="319"/>
      <c r="CA15" s="319"/>
      <c r="CC15" s="316" t="e">
        <f>BU15-(IF($AB15&gt;$G15,IF($G15&lt;$A$15,IF($AB15&lt;=$A$15,0,IF($AB15&lt;$A$14,$AB15-$A$15,$A$14-$A$15)),IF($G15&lt;$A$14,IF($AB15&lt;$A$14,$AB15-$G15,$A$14-$G15),0)),IF($G15&gt;=$A$14,IF($AB15&lt;$A$15,0,IF($AB15&lt;$A$14,$AB15-$A$15,$A$14-$A$15)),IF($G15&gt;$A$15,IF($AB15&lt;$A$15,$A$14-$G15,($A$14-$G15)+($AB15-$A$15)),$A$14-$A$15))))</f>
        <v>#VALUE!</v>
      </c>
      <c r="CD15" s="316"/>
      <c r="CF15" s="316" t="str">
        <f>IF(AND(L15="",O15=""),"",TIME($L15,$O15,0))</f>
        <v/>
      </c>
      <c r="CG15" s="316"/>
      <c r="CH15" s="316"/>
      <c r="CJ15" s="316" t="str">
        <f>IF(AND(T15="",W15=""),"",TIME($T15,$W15,0))</f>
        <v/>
      </c>
      <c r="CK15" s="316"/>
      <c r="CL15" s="316"/>
      <c r="CN15" s="319" t="e">
        <f>IF(CF15&gt;=CJ15,CJ15+$CC$9,CJ15)</f>
        <v>#VALUE!</v>
      </c>
      <c r="CO15" s="319"/>
      <c r="CP15" s="319"/>
    </row>
    <row r="16" spans="1:95" ht="12.75" customHeight="1">
      <c r="A16" s="10"/>
      <c r="B16" s="10"/>
      <c r="C16" s="10"/>
      <c r="W16" s="305" t="str">
        <f>IF(OR($G15="",$AB15=""),"",IF($BP15&gt;=5,"",IF($BP15*60+$BR15&gt;0,"運転時間は最低３時間のため始業点呼・就業点呼の＋２時間で５時間となります","")))</f>
        <v/>
      </c>
      <c r="X16" s="305"/>
      <c r="Y16" s="305"/>
      <c r="Z16" s="305"/>
      <c r="AA16" s="305"/>
      <c r="AB16" s="305"/>
      <c r="AC16" s="305"/>
      <c r="AD16" s="305"/>
      <c r="AE16" s="305"/>
      <c r="AF16" s="305"/>
      <c r="AG16" s="305"/>
      <c r="AH16" s="305"/>
      <c r="AI16" s="305"/>
      <c r="AJ16" s="305"/>
      <c r="AK16" s="305"/>
      <c r="AL16" s="305"/>
      <c r="AM16" s="305"/>
      <c r="AN16" s="305"/>
    </row>
    <row r="17" spans="5:86" ht="19.5" customHeight="1">
      <c r="U17" s="254" t="s">
        <v>27</v>
      </c>
      <c r="V17" s="254"/>
      <c r="W17" s="254"/>
      <c r="X17" s="254"/>
      <c r="Y17" s="254"/>
      <c r="Z17" s="254"/>
      <c r="AA17" s="254"/>
      <c r="AB17" s="254"/>
      <c r="AC17" s="254"/>
      <c r="AD17" s="254"/>
      <c r="AE17" s="254"/>
      <c r="AF17" s="325">
        <f>IF(ISERROR(ROUND(((+AF11+AF13+AF15)*60+AI11+AI13+AI15)/60,0)),0,ROUND(((+AF11+AF13+AF15)*60+AI11+AI13+AI15)/60,0))</f>
        <v>17</v>
      </c>
      <c r="AG17" s="325"/>
      <c r="AH17" s="325"/>
      <c r="AI17" s="325"/>
      <c r="AK17" s="254" t="s">
        <v>44</v>
      </c>
      <c r="AL17" s="254"/>
      <c r="AM17" s="254"/>
      <c r="AN17" s="254"/>
      <c r="AO17" s="254"/>
      <c r="AP17" s="254"/>
      <c r="AQ17" s="325">
        <f>IF(ISERROR(ROUND(((AN11+AN13+AN15)*60+AQ11+AQ13+AQ15)/60,0)),"",ROUND(((AN11+AN13+AN15)*60+AQ11+AQ13+AQ15)/60,0))</f>
        <v>2</v>
      </c>
      <c r="AR17" s="325"/>
      <c r="AS17" s="325"/>
      <c r="AT17" s="325"/>
      <c r="AV17" s="16"/>
      <c r="AW17" s="177"/>
      <c r="BB17" s="178"/>
      <c r="BC17" s="95"/>
      <c r="BK17" s="96"/>
      <c r="BN17" s="167"/>
      <c r="BP17" s="97"/>
      <c r="BQ17" s="98"/>
      <c r="BY17" s="316">
        <f>+CC17-CF17</f>
        <v>0.83333333333333337</v>
      </c>
      <c r="BZ17" s="316"/>
      <c r="CA17" s="316"/>
      <c r="CC17" s="316">
        <v>0.95833333333333337</v>
      </c>
      <c r="CD17" s="316"/>
      <c r="CF17" s="316">
        <v>0.125</v>
      </c>
      <c r="CG17" s="316"/>
      <c r="CH17" s="316"/>
    </row>
    <row r="18" spans="5:86" ht="15" customHeight="1">
      <c r="Y18" s="86"/>
      <c r="Z18" s="86"/>
      <c r="AA18" s="86"/>
      <c r="AC18" s="86"/>
      <c r="AD18" s="329" t="str">
        <f>IF(ISERROR(IF(MOD(AF11+AF13+AF15,60)&gt;0,"※３０分未満は切り捨て、３０分以上は１時間に切り上げとなります。","")),"",IF(MOD(AF11+AF13+AF15,60)&gt;0,"※３０分未満は切り捨て、３０分以上は１時間に切り上げとなります。",""))</f>
        <v>※３０分未満は切り捨て、３０分以上は１時間に切り上げとなります。</v>
      </c>
      <c r="AE18" s="329"/>
      <c r="AF18" s="329"/>
      <c r="AG18" s="329"/>
      <c r="AH18" s="329"/>
      <c r="AI18" s="329"/>
      <c r="AJ18" s="329"/>
      <c r="AK18" s="329"/>
      <c r="AL18" s="329"/>
      <c r="AM18" s="329"/>
      <c r="AN18" s="329"/>
      <c r="AO18" s="329"/>
      <c r="AP18" s="329"/>
      <c r="AQ18" s="329"/>
      <c r="AR18" s="329"/>
      <c r="AS18" s="329"/>
      <c r="AT18" s="86"/>
      <c r="AY18" s="179"/>
      <c r="BK18" s="96"/>
      <c r="BN18" s="167"/>
      <c r="BP18" s="97"/>
      <c r="BQ18" s="98"/>
    </row>
    <row r="19" spans="5:86" ht="6" customHeight="1">
      <c r="Y19" s="87"/>
      <c r="Z19" s="87"/>
      <c r="AA19" s="87"/>
      <c r="AB19" s="87"/>
      <c r="AC19" s="87"/>
      <c r="AD19" s="87"/>
      <c r="AE19" s="87"/>
      <c r="AF19" s="87"/>
      <c r="AG19" s="87"/>
      <c r="AH19" s="87"/>
      <c r="AI19" s="87"/>
      <c r="AJ19" s="87"/>
      <c r="AK19" s="87"/>
      <c r="AL19" s="87"/>
      <c r="AM19" s="87"/>
      <c r="AN19" s="87"/>
      <c r="AY19" s="179"/>
      <c r="BK19" s="96"/>
      <c r="BN19" s="167"/>
      <c r="BP19" s="97"/>
      <c r="BQ19" s="98"/>
    </row>
    <row r="20" spans="5:86" ht="14.25" customHeight="1">
      <c r="M20" s="76"/>
      <c r="N20" s="330" t="s">
        <v>14</v>
      </c>
      <c r="O20" s="330"/>
      <c r="P20" s="330"/>
      <c r="Q20" s="88"/>
      <c r="R20" s="330" t="s">
        <v>8</v>
      </c>
      <c r="S20" s="330"/>
      <c r="T20" s="44"/>
      <c r="U20" s="87"/>
      <c r="V20" s="87"/>
      <c r="W20" s="87"/>
      <c r="X20" s="87"/>
      <c r="Y20" s="87"/>
      <c r="Z20" s="87"/>
      <c r="AA20" s="87"/>
      <c r="AB20" s="87"/>
      <c r="AC20" s="87"/>
      <c r="AN20" s="20"/>
      <c r="AR20" s="10"/>
      <c r="AS20" s="10"/>
      <c r="AT20" s="10"/>
      <c r="AU20" s="10"/>
      <c r="AV20" s="10"/>
      <c r="AW20" s="37"/>
      <c r="AX20" s="37"/>
      <c r="AY20" s="37"/>
      <c r="AZ20" s="96"/>
      <c r="BA20" s="37"/>
      <c r="BB20" s="37"/>
      <c r="BC20" s="167"/>
      <c r="BE20" s="97"/>
      <c r="BF20" s="98"/>
      <c r="BN20" s="323"/>
      <c r="BO20" s="324"/>
      <c r="BP20" s="324"/>
    </row>
    <row r="21" spans="5:86" ht="19.5" customHeight="1">
      <c r="G21" s="5" t="s">
        <v>25</v>
      </c>
      <c r="J21" s="5" t="s">
        <v>16</v>
      </c>
      <c r="N21" s="253">
        <f ca="1">VLOOKUP($BC$10,INDIRECT(VLOOKUP($BC$5,$BR$40:$BS$49,2,FALSE)),3,FALSE)</f>
        <v>150</v>
      </c>
      <c r="O21" s="253"/>
      <c r="P21" s="253"/>
      <c r="Q21" s="2" t="s">
        <v>15</v>
      </c>
      <c r="R21" s="295">
        <f ca="1">VLOOKUP($BC$10,INDIRECT(VLOOKUP($BC$5,$BR$40:$BS$49,2,FALSE)),4,FALSE)</f>
        <v>100</v>
      </c>
      <c r="S21" s="295"/>
      <c r="T21" s="295"/>
      <c r="AJ21" s="10"/>
      <c r="AK21" s="10"/>
      <c r="AL21" s="10"/>
      <c r="AR21" s="10"/>
      <c r="AS21" s="10"/>
      <c r="AT21" s="10"/>
      <c r="AU21" s="10"/>
      <c r="AV21" s="10"/>
      <c r="AW21" s="37"/>
      <c r="AX21" s="37"/>
      <c r="AY21" s="37"/>
      <c r="AZ21" s="37"/>
      <c r="BA21" s="37"/>
      <c r="BB21" s="167"/>
    </row>
    <row r="22" spans="5:86" ht="6" customHeight="1" thickBot="1">
      <c r="AV22" s="16"/>
      <c r="AW22" s="177"/>
      <c r="BM22" s="167"/>
    </row>
    <row r="23" spans="5:86" ht="19.5" customHeight="1" thickBot="1">
      <c r="J23" s="5" t="s">
        <v>22</v>
      </c>
      <c r="N23" s="307">
        <v>800</v>
      </c>
      <c r="O23" s="326"/>
      <c r="P23" s="308"/>
      <c r="Q23" s="5" t="s">
        <v>23</v>
      </c>
      <c r="R23" s="327" t="str">
        <f>IF(T23="","","→")</f>
        <v/>
      </c>
      <c r="S23" s="327"/>
      <c r="T23" s="328" t="str">
        <f>IF(MOD(N23,10)&gt;0,ROUNDUP(N23,-1),"")</f>
        <v/>
      </c>
      <c r="U23" s="328"/>
      <c r="V23" s="328"/>
      <c r="W23" s="44" t="str">
        <f>IF(T23="","","㎞")</f>
        <v/>
      </c>
      <c r="X23" s="78"/>
      <c r="Y23" s="89"/>
    </row>
    <row r="24" spans="5:86" ht="15" customHeight="1">
      <c r="Q24" s="90" t="str">
        <f>IF(T23="","","１０㎞未満は１０㎞に切り上げとなります。")</f>
        <v/>
      </c>
      <c r="R24" s="91"/>
      <c r="S24" s="91"/>
      <c r="T24" s="91"/>
      <c r="U24" s="91"/>
      <c r="V24" s="91"/>
      <c r="W24" s="91"/>
      <c r="X24" s="91"/>
      <c r="AV24" s="16"/>
      <c r="AW24" s="177"/>
      <c r="BR24" s="37">
        <v>1</v>
      </c>
      <c r="BS24" s="37" t="s">
        <v>82</v>
      </c>
    </row>
    <row r="25" spans="5:86" ht="9.75" customHeight="1">
      <c r="BR25" s="37">
        <v>2</v>
      </c>
      <c r="BS25" s="37" t="s">
        <v>83</v>
      </c>
    </row>
    <row r="26" spans="5:86" ht="15" customHeight="1">
      <c r="G26" s="5" t="s">
        <v>37</v>
      </c>
      <c r="J26" s="55"/>
      <c r="K26" s="55"/>
      <c r="M26" s="152"/>
      <c r="N26" s="152"/>
      <c r="O26" s="152"/>
      <c r="P26" s="152"/>
      <c r="Q26" s="152"/>
      <c r="R26" s="152"/>
      <c r="S26" s="152"/>
      <c r="T26" s="152"/>
      <c r="U26" s="152"/>
      <c r="V26" s="152"/>
      <c r="W26" s="152"/>
      <c r="X26" s="152"/>
      <c r="Y26" s="11"/>
      <c r="Z26" s="10" t="s">
        <v>68</v>
      </c>
      <c r="AB26" s="152"/>
      <c r="AC26" s="152"/>
      <c r="AD26" s="152"/>
      <c r="AE26" s="152"/>
      <c r="AF26" s="152"/>
      <c r="AG26" s="152"/>
      <c r="AH26" s="152"/>
      <c r="AI26" s="152"/>
      <c r="AJ26" s="152"/>
      <c r="AK26" s="152"/>
      <c r="AL26" s="152"/>
      <c r="AM26" s="152"/>
      <c r="AN26" s="152"/>
      <c r="AO26" s="152"/>
      <c r="AP26" s="152"/>
      <c r="AQ26" s="152"/>
      <c r="AR26" s="152"/>
      <c r="AS26" s="152"/>
      <c r="AT26" s="149"/>
      <c r="AU26" s="149"/>
      <c r="AV26" s="149"/>
      <c r="AW26" s="181"/>
      <c r="AX26" s="181"/>
      <c r="AY26" s="108"/>
      <c r="AZ26" s="108"/>
      <c r="BA26" s="108"/>
      <c r="BB26" s="108"/>
      <c r="BR26" s="37">
        <v>3</v>
      </c>
      <c r="BS26" s="37" t="s">
        <v>84</v>
      </c>
    </row>
    <row r="27" spans="5:86" ht="15" customHeight="1">
      <c r="AY27" s="108"/>
      <c r="AZ27" s="108"/>
      <c r="BA27" s="108"/>
      <c r="BB27" s="108"/>
      <c r="BC27" s="37">
        <v>1</v>
      </c>
      <c r="BR27" s="37">
        <v>4</v>
      </c>
      <c r="BS27" s="37" t="s">
        <v>85</v>
      </c>
    </row>
    <row r="28" spans="5:86" ht="18" customHeight="1">
      <c r="E28" s="38" t="s">
        <v>38</v>
      </c>
      <c r="I28" s="38" t="s">
        <v>42</v>
      </c>
      <c r="AY28" s="108"/>
      <c r="AZ28" s="108"/>
      <c r="BA28" s="108"/>
      <c r="BB28" s="108"/>
      <c r="BR28" s="37">
        <v>5</v>
      </c>
      <c r="BS28" s="37" t="s">
        <v>86</v>
      </c>
    </row>
    <row r="29" spans="5:86" ht="15" customHeight="1">
      <c r="K29" s="240" t="s">
        <v>17</v>
      </c>
      <c r="L29" s="240"/>
      <c r="M29" s="240"/>
      <c r="O29" s="5" t="s">
        <v>39</v>
      </c>
      <c r="S29" s="44"/>
      <c r="U29" s="240" t="s">
        <v>16</v>
      </c>
      <c r="V29" s="240"/>
      <c r="W29" s="240"/>
      <c r="Y29" s="240" t="s">
        <v>22</v>
      </c>
      <c r="Z29" s="240"/>
      <c r="AA29" s="240"/>
      <c r="AB29" s="240"/>
      <c r="AY29" s="108"/>
      <c r="AZ29" s="108"/>
      <c r="BA29" s="108"/>
      <c r="BB29" s="108"/>
      <c r="BR29" s="37">
        <v>6</v>
      </c>
      <c r="BS29" s="37" t="s">
        <v>91</v>
      </c>
    </row>
    <row r="30" spans="5:86" ht="14.25">
      <c r="J30" s="149" t="s">
        <v>40</v>
      </c>
      <c r="K30" s="246">
        <f ca="1">時刻入力シート!N9</f>
        <v>6480</v>
      </c>
      <c r="L30" s="246"/>
      <c r="M30" s="246"/>
      <c r="N30" s="144" t="s">
        <v>18</v>
      </c>
      <c r="O30" s="239">
        <f>+AF17</f>
        <v>17</v>
      </c>
      <c r="P30" s="239"/>
      <c r="Q30" s="239"/>
      <c r="R30" s="5" t="s">
        <v>41</v>
      </c>
      <c r="S30" s="144" t="s">
        <v>19</v>
      </c>
      <c r="T30" s="150" t="s">
        <v>40</v>
      </c>
      <c r="U30" s="246">
        <f ca="1">N21</f>
        <v>150</v>
      </c>
      <c r="V30" s="246"/>
      <c r="W30" s="246"/>
      <c r="X30" s="144" t="s">
        <v>18</v>
      </c>
      <c r="Y30" s="256">
        <f>IF($T$23="",$N$23,$T$23)</f>
        <v>800</v>
      </c>
      <c r="Z30" s="256"/>
      <c r="AA30" s="256"/>
      <c r="AB30" s="256"/>
      <c r="AC30" s="5" t="s">
        <v>41</v>
      </c>
      <c r="AD30" s="5" t="s">
        <v>21</v>
      </c>
      <c r="AF30" s="312">
        <f ca="1">IF(OR($AF$17=0,AC33,$N$23=""),"",ROUND(+K30*O30,0)+ROUND(U30*Y30,0))</f>
        <v>230160</v>
      </c>
      <c r="AG30" s="312"/>
      <c r="AH30" s="312"/>
      <c r="AI30" s="312"/>
      <c r="AJ30" s="312"/>
      <c r="AK30" s="312"/>
      <c r="AL30" s="10" t="s">
        <v>114</v>
      </c>
      <c r="AP30" s="10"/>
      <c r="AY30" s="108"/>
      <c r="AZ30" s="108"/>
      <c r="BA30" s="108"/>
      <c r="BB30" s="108"/>
      <c r="BR30" s="37">
        <v>7</v>
      </c>
      <c r="BS30" s="37" t="s">
        <v>87</v>
      </c>
    </row>
    <row r="31" spans="5:86" ht="6" customHeight="1">
      <c r="AX31" s="174"/>
      <c r="AY31" s="108"/>
      <c r="AZ31" s="108"/>
      <c r="BA31" s="108"/>
      <c r="BB31" s="108"/>
      <c r="BR31" s="37">
        <v>8</v>
      </c>
      <c r="BS31" s="37" t="s">
        <v>88</v>
      </c>
    </row>
    <row r="32" spans="5:86" ht="14.25">
      <c r="J32" s="149" t="s">
        <v>40</v>
      </c>
      <c r="K32" s="246">
        <f ca="1">S9</f>
        <v>4490</v>
      </c>
      <c r="L32" s="246"/>
      <c r="M32" s="246"/>
      <c r="N32" s="144" t="s">
        <v>18</v>
      </c>
      <c r="O32" s="239">
        <f>+AF17</f>
        <v>17</v>
      </c>
      <c r="P32" s="239"/>
      <c r="Q32" s="239"/>
      <c r="R32" s="5" t="s">
        <v>41</v>
      </c>
      <c r="S32" s="144" t="s">
        <v>19</v>
      </c>
      <c r="T32" s="150" t="s">
        <v>40</v>
      </c>
      <c r="U32" s="246">
        <f ca="1">R21</f>
        <v>100</v>
      </c>
      <c r="V32" s="246"/>
      <c r="W32" s="246"/>
      <c r="X32" s="144" t="s">
        <v>18</v>
      </c>
      <c r="Y32" s="256">
        <f>IF($T$23="",N23,$T$23)</f>
        <v>800</v>
      </c>
      <c r="Z32" s="256"/>
      <c r="AA32" s="256"/>
      <c r="AB32" s="256"/>
      <c r="AC32" s="5" t="s">
        <v>41</v>
      </c>
      <c r="AD32" s="5" t="s">
        <v>21</v>
      </c>
      <c r="AF32" s="312">
        <f ca="1">IF(OR($AF$17=0,AC35,$N$23=""),"",ROUND(+K32*O32,0)+ROUND(U32*Y32,0))</f>
        <v>156330</v>
      </c>
      <c r="AG32" s="312"/>
      <c r="AH32" s="312"/>
      <c r="AI32" s="312"/>
      <c r="AJ32" s="312"/>
      <c r="AK32" s="312"/>
      <c r="AL32" s="10" t="s">
        <v>115</v>
      </c>
      <c r="AP32" s="10"/>
      <c r="AY32" s="108"/>
      <c r="AZ32" s="108"/>
      <c r="BA32" s="108"/>
      <c r="BB32" s="108"/>
      <c r="BR32" s="37">
        <v>9</v>
      </c>
      <c r="BS32" s="37" t="s">
        <v>89</v>
      </c>
    </row>
    <row r="33" spans="2:71" ht="6" customHeight="1">
      <c r="AX33" s="174"/>
      <c r="AY33" s="108"/>
      <c r="AZ33" s="108"/>
      <c r="BA33" s="108"/>
      <c r="BB33" s="108"/>
      <c r="BR33" s="37">
        <v>10</v>
      </c>
      <c r="BS33" s="37" t="s">
        <v>90</v>
      </c>
    </row>
    <row r="34" spans="2:71">
      <c r="I34" s="309" t="str">
        <f>IF($BC$27=1,"","割引額")</f>
        <v/>
      </c>
      <c r="J34" s="309"/>
      <c r="K34" s="309"/>
      <c r="L34" s="240" t="str">
        <f>IF($BC$27=1,"","運賃額")</f>
        <v/>
      </c>
      <c r="M34" s="240"/>
      <c r="N34" s="240"/>
      <c r="O34" s="240"/>
      <c r="P34" s="56"/>
      <c r="Q34" s="310" t="str">
        <f>IF($BC$27=1,"","割引率")</f>
        <v/>
      </c>
      <c r="R34" s="310"/>
      <c r="S34" s="310"/>
      <c r="T34" s="310"/>
      <c r="U34" s="56"/>
      <c r="V34" s="56"/>
      <c r="W34" s="56"/>
      <c r="X34" s="56"/>
      <c r="Y34" s="56"/>
      <c r="Z34" s="56"/>
      <c r="AA34" s="56"/>
      <c r="AB34" s="56"/>
      <c r="AC34" s="56"/>
      <c r="AD34" s="56"/>
      <c r="AE34" s="56"/>
      <c r="AF34" s="56"/>
      <c r="AG34" s="56"/>
      <c r="AH34" s="56"/>
      <c r="AI34" s="56"/>
      <c r="AJ34" s="56"/>
      <c r="AK34" s="56"/>
      <c r="AL34" s="56"/>
      <c r="AM34" s="56"/>
      <c r="AN34" s="56"/>
      <c r="AO34" s="56"/>
      <c r="AP34" s="10"/>
      <c r="AQ34" s="56"/>
      <c r="AR34" s="152"/>
      <c r="AS34" s="56"/>
      <c r="AT34" s="56"/>
      <c r="AW34" s="180"/>
      <c r="AY34" s="108"/>
      <c r="AZ34" s="108"/>
      <c r="BA34" s="108"/>
      <c r="BB34" s="108"/>
    </row>
    <row r="35" spans="2:71" ht="14.25">
      <c r="I35" s="309"/>
      <c r="J35" s="309"/>
      <c r="K35" s="309"/>
      <c r="L35" s="246" t="str">
        <f>IF($BC$27=1,"",+$AF$30)</f>
        <v/>
      </c>
      <c r="M35" s="246"/>
      <c r="N35" s="246"/>
      <c r="O35" s="246"/>
      <c r="P35" s="144" t="str">
        <f>IF($BC$27=1,"","×")</f>
        <v/>
      </c>
      <c r="Q35" s="311" t="str">
        <f>IF($BC$27=1,"",IF($BC$27=2,0.3,IF($BC$27=3,0.2,0)))</f>
        <v/>
      </c>
      <c r="R35" s="311"/>
      <c r="S35" s="311"/>
      <c r="T35" s="311"/>
      <c r="U35" s="5" t="str">
        <f>IF($BC$27=1,"","=")</f>
        <v/>
      </c>
      <c r="V35" s="312" t="str">
        <f>IF($BC$27=1,"",IF(AF30="","",ROUND($L$35*$Q$35,0)))</f>
        <v/>
      </c>
      <c r="W35" s="312"/>
      <c r="X35" s="312"/>
      <c r="Y35" s="312"/>
      <c r="Z35" s="312"/>
      <c r="AU35" s="144"/>
      <c r="AW35" s="174"/>
      <c r="AY35" s="108"/>
      <c r="AZ35" s="108"/>
      <c r="BA35" s="108"/>
      <c r="BB35" s="108"/>
    </row>
    <row r="36" spans="2:71" ht="6" customHeight="1">
      <c r="AT36" s="144"/>
      <c r="AU36" s="144"/>
      <c r="AV36" s="144"/>
      <c r="AW36" s="174"/>
      <c r="AY36" s="141"/>
      <c r="AZ36" s="108"/>
      <c r="BA36" s="108"/>
      <c r="BB36" s="108"/>
      <c r="BD36" s="167"/>
      <c r="BE36" s="167"/>
      <c r="BF36" s="167"/>
      <c r="BG36" s="167"/>
      <c r="BH36" s="167"/>
      <c r="BI36" s="167"/>
    </row>
    <row r="37" spans="2:71" ht="19.5" customHeight="1">
      <c r="I37" s="38" t="str">
        <f>IF($BC$27=1,"","割引後運賃額")</f>
        <v/>
      </c>
      <c r="O37" s="268" t="str">
        <f>IF($BC$27=1,"",AF30)</f>
        <v/>
      </c>
      <c r="P37" s="268"/>
      <c r="Q37" s="268"/>
      <c r="R37" s="268"/>
      <c r="S37" s="268"/>
      <c r="T37" s="268"/>
      <c r="U37" s="268"/>
      <c r="V37" s="268"/>
      <c r="W37" s="144" t="str">
        <f>IF($BC$27=1,"","－")</f>
        <v/>
      </c>
      <c r="X37" s="240" t="str">
        <f>IF($BC$27=1,"","割引額")</f>
        <v/>
      </c>
      <c r="Y37" s="240"/>
      <c r="Z37" s="240"/>
      <c r="AA37" s="5" t="str">
        <f>IF($BC$27=1,"","＝")</f>
        <v/>
      </c>
      <c r="AB37" s="312" t="str">
        <f>IF($BC$27=1,"",IF(AF30-V35&gt;AF32,AF30-V35,AF32))</f>
        <v/>
      </c>
      <c r="AC37" s="312"/>
      <c r="AD37" s="312"/>
      <c r="AE37" s="312"/>
      <c r="AF37" s="312"/>
      <c r="AG37" s="312"/>
      <c r="AH37" s="312"/>
      <c r="AI37" s="10" t="str">
        <f>IF(BC27=1,"","上限額①’")</f>
        <v/>
      </c>
      <c r="AY37" s="108"/>
      <c r="AZ37" s="108"/>
      <c r="BA37" s="108"/>
      <c r="BB37" s="108"/>
      <c r="BL37" s="169"/>
    </row>
    <row r="38" spans="2:71" ht="19.5" customHeight="1">
      <c r="I38" s="38"/>
      <c r="O38" s="155"/>
      <c r="P38" s="155"/>
      <c r="Q38" s="155"/>
      <c r="R38" s="155"/>
      <c r="S38" s="155"/>
      <c r="T38" s="155"/>
      <c r="U38" s="155"/>
      <c r="V38" s="155"/>
      <c r="W38" s="144"/>
      <c r="X38" s="144"/>
      <c r="Y38" s="144"/>
      <c r="Z38" s="144"/>
      <c r="AB38" s="165"/>
      <c r="AC38" s="165"/>
      <c r="AD38" s="10" t="str">
        <f>IF(BC27=1,"","割引きは下限額を限度とします。")</f>
        <v/>
      </c>
      <c r="AE38" s="165"/>
      <c r="AF38" s="165"/>
      <c r="AG38" s="165"/>
      <c r="AH38" s="165"/>
      <c r="AI38" s="10"/>
      <c r="AY38" s="108"/>
      <c r="AZ38" s="108"/>
      <c r="BA38" s="108"/>
      <c r="BB38" s="108"/>
      <c r="BL38" s="169"/>
    </row>
    <row r="39" spans="2:71" ht="19.5" customHeight="1">
      <c r="D39" s="21"/>
      <c r="E39" s="21"/>
      <c r="F39" s="21"/>
      <c r="G39" s="21"/>
      <c r="H39" s="21"/>
      <c r="I39" s="21"/>
      <c r="J39" s="21"/>
      <c r="K39" s="21"/>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41"/>
      <c r="AY39" s="108"/>
      <c r="AZ39" s="108"/>
      <c r="BA39" s="108"/>
      <c r="BB39" s="108"/>
      <c r="BL39" s="169"/>
    </row>
    <row r="40" spans="2:71" ht="21">
      <c r="B40" s="57" t="s">
        <v>46</v>
      </c>
      <c r="E40" s="92" t="s">
        <v>28</v>
      </c>
      <c r="K40" s="3"/>
      <c r="AY40" s="108"/>
      <c r="AZ40" s="108"/>
      <c r="BA40" s="108"/>
      <c r="BB40" s="108"/>
      <c r="BR40" s="37">
        <v>1</v>
      </c>
      <c r="BS40" s="37" t="s">
        <v>93</v>
      </c>
    </row>
    <row r="41" spans="2:71" ht="20.25" customHeight="1">
      <c r="F41" s="5" t="str">
        <f>IF($AQ$17=0,"","上限")</f>
        <v>上限</v>
      </c>
      <c r="J41" s="5" t="str">
        <f>IF($AQ$17=0,"","下限")</f>
        <v>下限</v>
      </c>
      <c r="Z41" s="1"/>
      <c r="AA41" s="1"/>
      <c r="AB41" s="1"/>
      <c r="AC41" s="1"/>
      <c r="AD41" s="1"/>
      <c r="AE41" s="1"/>
      <c r="AF41" s="1"/>
      <c r="AG41" s="1"/>
      <c r="AH41" s="1"/>
      <c r="AI41" s="1"/>
      <c r="AJ41" s="1"/>
      <c r="AK41" s="1"/>
      <c r="AL41" s="1"/>
      <c r="AM41" s="1"/>
      <c r="AN41" s="1"/>
      <c r="AO41" s="1"/>
      <c r="AP41" s="1"/>
      <c r="AQ41" s="1"/>
      <c r="AR41" s="1"/>
      <c r="AS41" s="1"/>
      <c r="AT41" s="1"/>
      <c r="AU41" s="1"/>
      <c r="AV41" s="1"/>
      <c r="AW41" s="178"/>
      <c r="AX41" s="178"/>
      <c r="AY41" s="142"/>
      <c r="AZ41" s="108"/>
      <c r="BA41" s="108"/>
      <c r="BB41" s="108"/>
      <c r="BR41" s="37">
        <v>2</v>
      </c>
      <c r="BS41" s="37" t="s">
        <v>94</v>
      </c>
    </row>
    <row r="42" spans="2:71" ht="18.75">
      <c r="C42" s="5" t="str">
        <f>IF($AQ$17=0,"","割増率")</f>
        <v>割増率</v>
      </c>
      <c r="F42" s="313">
        <v>20</v>
      </c>
      <c r="G42" s="313"/>
      <c r="H42" s="220" t="str">
        <f>IF($AQ$17=0,"","％")</f>
        <v>％</v>
      </c>
      <c r="I42" s="202" t="str">
        <f>IF($AQ$17=0,"","～")</f>
        <v>～</v>
      </c>
      <c r="J42" s="313">
        <v>0</v>
      </c>
      <c r="K42" s="313"/>
      <c r="L42" s="220" t="str">
        <f>IF($AQ$17=0,"","％")</f>
        <v>％</v>
      </c>
      <c r="M42" s="46"/>
      <c r="N42" s="46"/>
      <c r="O42" s="46"/>
      <c r="P42" s="3"/>
      <c r="U42" s="240" t="str">
        <f>IF($AQ$17=0,"","時間単価")</f>
        <v>時間単価</v>
      </c>
      <c r="V42" s="240"/>
      <c r="W42" s="240"/>
      <c r="X42" s="240"/>
      <c r="Y42" s="240" t="str">
        <f>IF($AQ$17=0,"","割増率")</f>
        <v>割増率</v>
      </c>
      <c r="Z42" s="240"/>
      <c r="AA42" s="240"/>
      <c r="AC42" s="240" t="str">
        <f>IF($AQ$17=0,"","深夜早朝時間計")</f>
        <v>深夜早朝時間計</v>
      </c>
      <c r="AD42" s="240"/>
      <c r="AE42" s="240"/>
      <c r="AF42" s="240"/>
      <c r="AG42" s="240"/>
      <c r="AH42" s="240"/>
      <c r="AO42" s="18"/>
      <c r="AP42" s="18"/>
      <c r="AQ42" s="18"/>
      <c r="AR42" s="1"/>
      <c r="AS42" s="1"/>
      <c r="AU42" s="21"/>
      <c r="AV42" s="10"/>
      <c r="AW42" s="37"/>
      <c r="AX42" s="37"/>
      <c r="AY42" s="108"/>
      <c r="AZ42" s="108"/>
      <c r="BA42" s="108"/>
      <c r="BB42" s="108"/>
      <c r="BR42" s="37">
        <v>3</v>
      </c>
      <c r="BS42" s="37" t="s">
        <v>95</v>
      </c>
    </row>
    <row r="43" spans="2:71" ht="18.75">
      <c r="F43" s="230"/>
      <c r="G43" s="230"/>
      <c r="H43" s="231"/>
      <c r="I43" s="232"/>
      <c r="J43" s="230"/>
      <c r="K43" s="230"/>
      <c r="L43" s="220"/>
      <c r="M43" s="46"/>
      <c r="N43" s="46"/>
      <c r="O43" s="46"/>
      <c r="P43" s="3"/>
      <c r="U43" s="210"/>
      <c r="V43" s="210"/>
      <c r="W43" s="210"/>
      <c r="X43" s="210"/>
      <c r="Y43" s="44"/>
      <c r="Z43" s="210"/>
      <c r="AA43" s="210"/>
      <c r="AC43" s="210"/>
      <c r="AD43" s="210"/>
      <c r="AE43" s="210"/>
      <c r="AF43" s="210"/>
      <c r="AG43" s="210"/>
      <c r="AO43" s="18"/>
      <c r="AP43" s="18"/>
      <c r="AQ43" s="18"/>
      <c r="AR43" s="1"/>
      <c r="AS43" s="1"/>
      <c r="AU43" s="21"/>
      <c r="AV43" s="10"/>
      <c r="AW43" s="37"/>
      <c r="AX43" s="37"/>
      <c r="AY43" s="108"/>
      <c r="AZ43" s="108"/>
      <c r="BA43" s="108"/>
      <c r="BB43" s="108"/>
      <c r="BR43" s="37">
        <v>4</v>
      </c>
      <c r="BS43" s="37" t="s">
        <v>96</v>
      </c>
    </row>
    <row r="44" spans="2:71" ht="18.75">
      <c r="C44" s="5" t="str">
        <f>IF($AQ$17=0,"","[上限20％]")</f>
        <v>[上限20％]</v>
      </c>
      <c r="F44" s="163"/>
      <c r="G44" s="163"/>
      <c r="I44" s="58"/>
      <c r="J44" s="93"/>
      <c r="K44" s="46"/>
      <c r="L44" s="46"/>
      <c r="M44" s="46"/>
      <c r="N44" s="46"/>
      <c r="O44" s="46"/>
      <c r="P44" s="3"/>
      <c r="U44" s="144"/>
      <c r="V44" s="144"/>
      <c r="W44" s="144"/>
      <c r="X44" s="144"/>
      <c r="Y44" s="44"/>
      <c r="Z44" s="144"/>
      <c r="AA44" s="144"/>
      <c r="AC44" s="144"/>
      <c r="AD44" s="144"/>
      <c r="AE44" s="144"/>
      <c r="AF44" s="144"/>
      <c r="AG44" s="144"/>
      <c r="AO44" s="18"/>
      <c r="AP44" s="18"/>
      <c r="AQ44" s="18"/>
      <c r="AR44" s="1"/>
      <c r="AS44" s="1"/>
      <c r="AU44" s="21"/>
      <c r="AV44" s="10"/>
      <c r="AW44" s="37"/>
      <c r="AX44" s="37"/>
      <c r="AY44" s="108"/>
      <c r="AZ44" s="108"/>
      <c r="BA44" s="108"/>
      <c r="BB44" s="108"/>
      <c r="BR44" s="37">
        <v>5</v>
      </c>
      <c r="BS44" s="37" t="s">
        <v>97</v>
      </c>
    </row>
    <row r="45" spans="2:71" ht="18.75">
      <c r="J45" s="149" t="str">
        <f>IF($AQ$17=0,"","(運    賃)")</f>
        <v>(運    賃)</v>
      </c>
      <c r="K45" s="21"/>
      <c r="L45" s="21"/>
      <c r="M45" s="26" t="str">
        <f>IF($AQ$17=0,"","（上限額)")</f>
        <v>（上限額)</v>
      </c>
      <c r="Q45" s="21"/>
      <c r="R45" s="21"/>
      <c r="S45" s="21"/>
      <c r="T45" s="21"/>
      <c r="U45" s="246">
        <f ca="1">IF($AQ$17=0,"",N9)</f>
        <v>6480</v>
      </c>
      <c r="V45" s="246"/>
      <c r="W45" s="246"/>
      <c r="X45" s="246"/>
      <c r="Y45" s="44" t="str">
        <f>IF($AQ$17=0,"","×")</f>
        <v>×</v>
      </c>
      <c r="Z45" s="248">
        <f>IF($AQ$17=0,"",IF(F42="","",+$F$42/100))</f>
        <v>0.2</v>
      </c>
      <c r="AA45" s="248"/>
      <c r="AB45" s="44" t="str">
        <f>IF($AQ$17=0,"","×")</f>
        <v>×</v>
      </c>
      <c r="AC45" s="239">
        <f>IF($AQ$17=0,"",$AQ$17)</f>
        <v>2</v>
      </c>
      <c r="AD45" s="239"/>
      <c r="AE45" s="239"/>
      <c r="AF45" s="239"/>
      <c r="AG45" s="239"/>
      <c r="AH45" s="44" t="str">
        <f>IF($AQ$17=0,"","＝")</f>
        <v>＝</v>
      </c>
      <c r="AI45" s="283">
        <f ca="1">IF($AQ$17=0,"",IF(F42="","",ROUND(U45*Z45*AC45,0)))</f>
        <v>2592</v>
      </c>
      <c r="AJ45" s="283"/>
      <c r="AK45" s="283"/>
      <c r="AL45" s="283"/>
      <c r="AM45" s="283"/>
      <c r="AQ45" s="140"/>
      <c r="AR45" s="140"/>
      <c r="AS45" s="140"/>
      <c r="AT45" s="21"/>
      <c r="AU45" s="21"/>
      <c r="AV45" s="10"/>
      <c r="AW45" s="37"/>
      <c r="AX45" s="37"/>
      <c r="AY45" s="108"/>
      <c r="AZ45" s="108"/>
      <c r="BA45" s="108"/>
      <c r="BB45" s="108"/>
      <c r="BR45" s="37">
        <v>6</v>
      </c>
      <c r="BS45" s="37" t="s">
        <v>98</v>
      </c>
    </row>
    <row r="46" spans="2:71" ht="18.75">
      <c r="B46" s="21"/>
      <c r="C46" s="149"/>
      <c r="J46" s="149" t="str">
        <f>IF($AQ$17=0,"",IF($BA$75=FALSE,"","(交替運転者配置料金)"))</f>
        <v>(交替運転者配置料金)</v>
      </c>
      <c r="K46" s="152"/>
      <c r="L46" s="21"/>
      <c r="M46" s="26" t="str">
        <f>IF($AQ$17=0,"",IF($BA$75=FALSE,"","(上限額)"))</f>
        <v>(上限額)</v>
      </c>
      <c r="N46" s="21"/>
      <c r="O46" s="144"/>
      <c r="P46" s="144"/>
      <c r="Q46" s="21"/>
      <c r="R46" s="21"/>
      <c r="S46" s="21"/>
      <c r="T46" s="21"/>
      <c r="U46" s="246">
        <f ca="1">IF($AQ$17=0,"",IF($BA$75=FALSE,"",J74))</f>
        <v>3080</v>
      </c>
      <c r="V46" s="246"/>
      <c r="W46" s="246"/>
      <c r="X46" s="246"/>
      <c r="Y46" s="44" t="str">
        <f>IF($AQ$17=0,"",IF($BA$75=FALSE,"","×"))</f>
        <v>×</v>
      </c>
      <c r="Z46" s="248">
        <f>IF($AQ$17=0,"",IF(BA75=FALSE,"",IF(F42="","",$F$42/100)))</f>
        <v>0.2</v>
      </c>
      <c r="AA46" s="248"/>
      <c r="AB46" s="44" t="str">
        <f>IF($AQ$17=0,"",IF($BA$75=FALSE,"","×"))</f>
        <v>×</v>
      </c>
      <c r="AC46" s="239">
        <f>IF($AQ$17=0,"",IF($BA$75=FALSE,"",$AQ$17))</f>
        <v>2</v>
      </c>
      <c r="AD46" s="239"/>
      <c r="AE46" s="239"/>
      <c r="AF46" s="239"/>
      <c r="AG46" s="239"/>
      <c r="AH46" s="44" t="str">
        <f>IF($AQ$17=0,"",IF($BA$75=FALSE,"","＝"))</f>
        <v>＝</v>
      </c>
      <c r="AI46" s="283">
        <f ca="1">IF($AQ$17=0,"",IF($BA$75=FALSE,"",IF(F42="","",ROUND(U46*Z46*AC46,0))))</f>
        <v>1232</v>
      </c>
      <c r="AJ46" s="283"/>
      <c r="AK46" s="283"/>
      <c r="AL46" s="283"/>
      <c r="AM46" s="283"/>
      <c r="AN46" s="6" t="str">
        <f>IF($AQ$17=0,"",IF($G$74=FALSE,"","計"))</f>
        <v>計</v>
      </c>
      <c r="AO46" s="260">
        <f ca="1">IF($AQ$17=0,"",IF(BA75=TRUE,AI45+AI46,AI45))</f>
        <v>3824</v>
      </c>
      <c r="AP46" s="260"/>
      <c r="AQ46" s="260"/>
      <c r="AR46" s="260"/>
      <c r="AS46" s="260"/>
      <c r="AT46" s="143" t="str">
        <f>IF($AQ$17=0,"","上限額③")</f>
        <v>上限額③</v>
      </c>
      <c r="AU46" s="21"/>
      <c r="AV46" s="10"/>
      <c r="AW46" s="37"/>
      <c r="AX46" s="37"/>
      <c r="AY46" s="108"/>
      <c r="AZ46" s="108"/>
      <c r="BA46" s="108"/>
      <c r="BB46" s="108"/>
      <c r="BR46" s="37">
        <v>7</v>
      </c>
      <c r="BS46" s="37" t="s">
        <v>99</v>
      </c>
    </row>
    <row r="47" spans="2:71" ht="18.75">
      <c r="B47" s="21"/>
      <c r="C47" s="213"/>
      <c r="J47" s="213"/>
      <c r="K47" s="216"/>
      <c r="L47" s="21"/>
      <c r="M47" s="26"/>
      <c r="N47" s="21"/>
      <c r="O47" s="210"/>
      <c r="P47" s="210"/>
      <c r="Q47" s="21"/>
      <c r="R47" s="21"/>
      <c r="S47" s="21"/>
      <c r="T47" s="21"/>
      <c r="U47" s="211"/>
      <c r="V47" s="211"/>
      <c r="W47" s="211"/>
      <c r="X47" s="211"/>
      <c r="Y47" s="44"/>
      <c r="Z47" s="212"/>
      <c r="AA47" s="212"/>
      <c r="AB47" s="44"/>
      <c r="AC47" s="209"/>
      <c r="AD47" s="209"/>
      <c r="AE47" s="209"/>
      <c r="AF47" s="209"/>
      <c r="AG47" s="209"/>
      <c r="AH47" s="44"/>
      <c r="AI47" s="219"/>
      <c r="AJ47" s="219"/>
      <c r="AK47" s="219"/>
      <c r="AL47" s="219"/>
      <c r="AM47" s="219"/>
      <c r="AN47" s="6"/>
      <c r="AO47" s="215"/>
      <c r="AP47" s="215"/>
      <c r="AQ47" s="215"/>
      <c r="AR47" s="215"/>
      <c r="AS47" s="215"/>
      <c r="AT47" s="143"/>
      <c r="AU47" s="21"/>
      <c r="AV47" s="10"/>
      <c r="AW47" s="37"/>
      <c r="AX47" s="37"/>
      <c r="AY47" s="108"/>
      <c r="AZ47" s="108"/>
      <c r="BA47" s="108"/>
      <c r="BB47" s="108"/>
      <c r="BR47" s="37">
        <v>8</v>
      </c>
      <c r="BS47" s="37" t="s">
        <v>100</v>
      </c>
    </row>
    <row r="48" spans="2:71" ht="18.75">
      <c r="J48" s="149" t="str">
        <f>IF($AQ$17=0,"","(運    賃)")</f>
        <v>(運    賃)</v>
      </c>
      <c r="K48" s="21"/>
      <c r="L48" s="21"/>
      <c r="M48" s="26" t="str">
        <f>IF($AQ$17=0,"","(下限額)")</f>
        <v>(下限額)</v>
      </c>
      <c r="N48" s="21"/>
      <c r="Q48" s="21"/>
      <c r="R48" s="21"/>
      <c r="S48" s="21"/>
      <c r="T48" s="21"/>
      <c r="U48" s="246">
        <f ca="1">IF($AQ$17=0,"",S9)</f>
        <v>4490</v>
      </c>
      <c r="V48" s="246"/>
      <c r="W48" s="246"/>
      <c r="X48" s="246"/>
      <c r="Y48" s="44" t="str">
        <f>IF($AQ$17=0,"","×")</f>
        <v>×</v>
      </c>
      <c r="Z48" s="248">
        <f>IF($AQ$17=0,"",IF(F42="","",+$F$42/100))</f>
        <v>0.2</v>
      </c>
      <c r="AA48" s="248"/>
      <c r="AB48" s="44" t="str">
        <f>IF($AQ$17=0,"","×")</f>
        <v>×</v>
      </c>
      <c r="AC48" s="239">
        <f>IF($AQ$17=0,"",$AQ$17)</f>
        <v>2</v>
      </c>
      <c r="AD48" s="239"/>
      <c r="AE48" s="239"/>
      <c r="AF48" s="239"/>
      <c r="AG48" s="239"/>
      <c r="AH48" s="44" t="str">
        <f>IF($AQ$17=0,"","＝")</f>
        <v>＝</v>
      </c>
      <c r="AI48" s="283">
        <f ca="1">IF($AQ$17=0,"",IF(F42="","",ROUND(U48*Z48*AC48,0)))</f>
        <v>1796</v>
      </c>
      <c r="AJ48" s="283"/>
      <c r="AK48" s="283"/>
      <c r="AL48" s="283"/>
      <c r="AM48" s="283"/>
      <c r="AQ48" s="140"/>
      <c r="AR48" s="140"/>
      <c r="AS48" s="140"/>
      <c r="AT48" s="21"/>
      <c r="AU48" s="21"/>
      <c r="AV48" s="10"/>
      <c r="AW48" s="37"/>
      <c r="AX48" s="37"/>
      <c r="AY48" s="108"/>
      <c r="AZ48" s="108"/>
      <c r="BA48" s="108"/>
      <c r="BB48" s="108"/>
      <c r="BR48" s="37">
        <v>9</v>
      </c>
      <c r="BS48" s="37" t="s">
        <v>101</v>
      </c>
    </row>
    <row r="49" spans="2:71" ht="18.75">
      <c r="B49" s="21"/>
      <c r="C49" s="149"/>
      <c r="J49" s="149" t="str">
        <f>IF($AQ$17=0,"",IF($BA$75=FALSE,"","(交替運転者配置料金)"))</f>
        <v>(交替運転者配置料金)</v>
      </c>
      <c r="K49" s="152"/>
      <c r="L49" s="21"/>
      <c r="M49" s="26" t="str">
        <f>IF($AQ$17=0,"",IF($BA$75=FALSE,"","(下限額)"))</f>
        <v>(下限額)</v>
      </c>
      <c r="O49" s="144"/>
      <c r="P49" s="144"/>
      <c r="Q49" s="21"/>
      <c r="R49" s="21"/>
      <c r="S49" s="21"/>
      <c r="T49" s="21"/>
      <c r="U49" s="246">
        <f ca="1">IF($AQ$17=0,"",IF($BA$75=FALSE,"",N74))</f>
        <v>2130</v>
      </c>
      <c r="V49" s="246"/>
      <c r="W49" s="246"/>
      <c r="X49" s="246"/>
      <c r="Y49" s="44" t="str">
        <f>IF($AQ$17=0,"",IF($BA$75=FALSE,"","×"))</f>
        <v>×</v>
      </c>
      <c r="Z49" s="257">
        <f>IF($AQ$17=0,"",IF(BA75=FALSE,"",IF(F42="","",$F$42/100)))</f>
        <v>0.2</v>
      </c>
      <c r="AA49" s="257"/>
      <c r="AB49" s="44" t="str">
        <f>IF($AQ$17=0,"",IF($BA$75=FALSE,"","×"))</f>
        <v>×</v>
      </c>
      <c r="AC49" s="239">
        <f>IF($AQ$17=0,"",IF($BA$75=FALSE,"",$AQ$17))</f>
        <v>2</v>
      </c>
      <c r="AD49" s="239"/>
      <c r="AE49" s="239"/>
      <c r="AF49" s="239"/>
      <c r="AG49" s="239"/>
      <c r="AH49" s="44" t="str">
        <f>IF($AQ$17=0,"",IF($BA$75=FALSE,"","＝"))</f>
        <v>＝</v>
      </c>
      <c r="AI49" s="283">
        <f ca="1">IF($AQ$17=0,"",IF($BA$75=FALSE,"",IF(F42="","",ROUND(U49*Z49*AC49,0))))</f>
        <v>852</v>
      </c>
      <c r="AJ49" s="283"/>
      <c r="AK49" s="283"/>
      <c r="AL49" s="283"/>
      <c r="AM49" s="283"/>
      <c r="AN49" s="6" t="str">
        <f>IF($AQ$17=0,"",IF($G$74=FALSE,"","計"))</f>
        <v>計</v>
      </c>
      <c r="AO49" s="260">
        <f ca="1">IF($AQ$17=0,"",IF(BA75=TRUE,AI48+AI49,AI48))</f>
        <v>2648</v>
      </c>
      <c r="AP49" s="260"/>
      <c r="AQ49" s="260"/>
      <c r="AR49" s="260"/>
      <c r="AS49" s="260"/>
      <c r="AT49" s="156" t="str">
        <f>IF($AQ$17=0,"","下限額④")</f>
        <v>下限額④</v>
      </c>
      <c r="AU49" s="21"/>
      <c r="AV49" s="10"/>
      <c r="AW49" s="37"/>
      <c r="AX49" s="37"/>
      <c r="AY49" s="108"/>
      <c r="AZ49" s="108"/>
      <c r="BA49" s="108"/>
      <c r="BB49" s="108"/>
      <c r="BR49" s="37">
        <v>10</v>
      </c>
      <c r="BS49" s="37" t="s">
        <v>102</v>
      </c>
    </row>
    <row r="50" spans="2:71" ht="13.5" customHeight="1">
      <c r="B50" s="21"/>
      <c r="C50" s="213"/>
      <c r="J50" s="213"/>
      <c r="K50" s="216"/>
      <c r="L50" s="21"/>
      <c r="M50" s="26"/>
      <c r="O50" s="210"/>
      <c r="P50" s="210"/>
      <c r="Q50" s="21"/>
      <c r="R50" s="21"/>
      <c r="S50" s="21"/>
      <c r="T50" s="21"/>
      <c r="U50" s="211"/>
      <c r="V50" s="211"/>
      <c r="W50" s="211"/>
      <c r="X50" s="211"/>
      <c r="Y50" s="44"/>
      <c r="Z50" s="214"/>
      <c r="AA50" s="214"/>
      <c r="AB50" s="44"/>
      <c r="AC50" s="209"/>
      <c r="AD50" s="209"/>
      <c r="AE50" s="209"/>
      <c r="AF50" s="209"/>
      <c r="AG50" s="209"/>
      <c r="AH50" s="44"/>
      <c r="AI50" s="219"/>
      <c r="AJ50" s="219"/>
      <c r="AK50" s="219"/>
      <c r="AL50" s="219"/>
      <c r="AM50" s="219"/>
      <c r="AN50" s="6"/>
      <c r="AO50" s="215"/>
      <c r="AP50" s="215"/>
      <c r="AQ50" s="215"/>
      <c r="AR50" s="215"/>
      <c r="AS50" s="215"/>
      <c r="AT50" s="217"/>
      <c r="AU50" s="21"/>
      <c r="AV50" s="10"/>
      <c r="AW50" s="37"/>
      <c r="AX50" s="37"/>
      <c r="AY50" s="108"/>
      <c r="AZ50" s="108"/>
      <c r="BA50" s="108"/>
      <c r="BB50" s="108"/>
    </row>
    <row r="51" spans="2:71" ht="18.75">
      <c r="B51" s="21"/>
      <c r="C51" s="216" t="str">
        <f>IF($AQ$17=0,"","[下限0％]")</f>
        <v>[下限0％]</v>
      </c>
      <c r="J51" s="213"/>
      <c r="K51" s="216"/>
      <c r="L51" s="21"/>
      <c r="M51" s="26"/>
      <c r="O51" s="210"/>
      <c r="P51" s="210"/>
      <c r="Q51" s="21"/>
      <c r="R51" s="21"/>
      <c r="S51" s="21"/>
      <c r="T51" s="21"/>
      <c r="U51" s="211"/>
      <c r="V51" s="211"/>
      <c r="W51" s="211"/>
      <c r="X51" s="211"/>
      <c r="Y51" s="44"/>
      <c r="Z51" s="214"/>
      <c r="AA51" s="214"/>
      <c r="AB51" s="44"/>
      <c r="AC51" s="209"/>
      <c r="AD51" s="209"/>
      <c r="AE51" s="209"/>
      <c r="AF51" s="209"/>
      <c r="AG51" s="209"/>
      <c r="AH51" s="44"/>
      <c r="AI51" s="219"/>
      <c r="AJ51" s="219"/>
      <c r="AK51" s="219"/>
      <c r="AL51" s="219"/>
      <c r="AM51" s="219"/>
      <c r="AN51" s="6"/>
      <c r="AO51" s="215"/>
      <c r="AP51" s="215"/>
      <c r="AQ51" s="215"/>
      <c r="AR51" s="215"/>
      <c r="AS51" s="215"/>
      <c r="AT51" s="217"/>
      <c r="AU51" s="21"/>
      <c r="AV51" s="10"/>
      <c r="AW51" s="37"/>
      <c r="AX51" s="37"/>
      <c r="AY51" s="108"/>
      <c r="AZ51" s="108"/>
      <c r="BA51" s="108"/>
      <c r="BB51" s="108"/>
    </row>
    <row r="52" spans="2:71" ht="25.5" customHeight="1">
      <c r="B52" s="21"/>
      <c r="J52" s="213" t="str">
        <f>IF($AQ$17=0,"","(運    賃)")</f>
        <v>(運    賃)</v>
      </c>
      <c r="K52" s="21"/>
      <c r="L52" s="21"/>
      <c r="M52" s="26" t="str">
        <f>IF($AQ$17=0,"","（上限額)")</f>
        <v>（上限額)</v>
      </c>
      <c r="Q52" s="21"/>
      <c r="R52" s="21"/>
      <c r="S52" s="21"/>
      <c r="T52" s="21"/>
      <c r="U52" s="246">
        <f ca="1">IF($AQ$17=0,"",N9)</f>
        <v>6480</v>
      </c>
      <c r="V52" s="246"/>
      <c r="W52" s="246"/>
      <c r="X52" s="246"/>
      <c r="Y52" s="44" t="str">
        <f>IF($AQ$17=0,"","×")</f>
        <v>×</v>
      </c>
      <c r="Z52" s="248">
        <f>IF($AQ$17=0,"",IF(J42="","",+$J$42/100))</f>
        <v>0</v>
      </c>
      <c r="AA52" s="248"/>
      <c r="AB52" s="44" t="str">
        <f>IF($AQ$17=0,"","×")</f>
        <v>×</v>
      </c>
      <c r="AC52" s="239">
        <f>IF($AQ$17=0,"",$AQ$17)</f>
        <v>2</v>
      </c>
      <c r="AD52" s="239"/>
      <c r="AE52" s="239"/>
      <c r="AF52" s="239"/>
      <c r="AG52" s="239"/>
      <c r="AH52" s="44" t="str">
        <f>IF($AQ$17=0,"","＝")</f>
        <v>＝</v>
      </c>
      <c r="AI52" s="283">
        <f ca="1">IF($AQ$17=0,"",IF(J42="","",ROUND(U52*Z52*AC52,0)))</f>
        <v>0</v>
      </c>
      <c r="AJ52" s="283"/>
      <c r="AK52" s="283"/>
      <c r="AL52" s="283"/>
      <c r="AM52" s="283"/>
      <c r="AQ52" s="140"/>
      <c r="AR52" s="140"/>
      <c r="AS52" s="140"/>
      <c r="AT52" s="21"/>
      <c r="AU52" s="21"/>
      <c r="AV52" s="10"/>
      <c r="AW52" s="37"/>
      <c r="AX52" s="37"/>
      <c r="AY52" s="108"/>
      <c r="AZ52" s="108"/>
      <c r="BA52" s="108"/>
      <c r="BB52" s="108"/>
    </row>
    <row r="53" spans="2:71" ht="25.5" customHeight="1">
      <c r="B53" s="21"/>
      <c r="C53" s="213"/>
      <c r="J53" s="213" t="str">
        <f>IF($AQ$17=0,"",IF($BA$75=FALSE,"","(交替運転者配置料金)"))</f>
        <v>(交替運転者配置料金)</v>
      </c>
      <c r="K53" s="216"/>
      <c r="L53" s="21"/>
      <c r="M53" s="26" t="str">
        <f>IF($AQ$17=0,"",IF($BA$75=FALSE,"","(上限額)"))</f>
        <v>(上限額)</v>
      </c>
      <c r="N53" s="21"/>
      <c r="O53" s="210"/>
      <c r="P53" s="210"/>
      <c r="Q53" s="21"/>
      <c r="R53" s="21"/>
      <c r="S53" s="21"/>
      <c r="T53" s="21"/>
      <c r="U53" s="246">
        <f ca="1">IF($AQ$17=0,"",IF($BA$75=FALSE,"",J74))</f>
        <v>3080</v>
      </c>
      <c r="V53" s="246"/>
      <c r="W53" s="246"/>
      <c r="X53" s="246"/>
      <c r="Y53" s="44" t="str">
        <f>IF($AQ$17=0,"",IF($BA$75=FALSE,"","×"))</f>
        <v>×</v>
      </c>
      <c r="Z53" s="248">
        <f>IF($AQ$17=0,"",IF(BA75=FALSE,"",IF(J42="","",$J$42/100)))</f>
        <v>0</v>
      </c>
      <c r="AA53" s="248"/>
      <c r="AB53" s="44" t="str">
        <f>IF($AQ$17=0,"",IF($BA$75=FALSE,"","×"))</f>
        <v>×</v>
      </c>
      <c r="AC53" s="239">
        <f>IF($AQ$17=0,"",IF($BA$75=FALSE,"",$AQ$17))</f>
        <v>2</v>
      </c>
      <c r="AD53" s="239"/>
      <c r="AE53" s="239"/>
      <c r="AF53" s="239"/>
      <c r="AG53" s="239"/>
      <c r="AH53" s="44" t="str">
        <f>IF($AQ$17=0,"",IF($BA$75=FALSE,"","＝"))</f>
        <v>＝</v>
      </c>
      <c r="AI53" s="283">
        <f ca="1">IF($AQ$17=0,"",IF($BA$75=FALSE,"",IF(J42="","",ROUND(U53*Z53*AC53,0))))</f>
        <v>0</v>
      </c>
      <c r="AJ53" s="283"/>
      <c r="AK53" s="283"/>
      <c r="AL53" s="283"/>
      <c r="AM53" s="283"/>
      <c r="AN53" s="6" t="str">
        <f>IF($AQ$17=0,"",IF($G$74=FALSE,"","計"))</f>
        <v>計</v>
      </c>
      <c r="AO53" s="260">
        <f ca="1">IF($AQ$17=0,"",IF(BA75=TRUE,AI52+AI53,AI52))</f>
        <v>0</v>
      </c>
      <c r="AP53" s="260"/>
      <c r="AQ53" s="260"/>
      <c r="AR53" s="260"/>
      <c r="AS53" s="260"/>
      <c r="AT53" s="143" t="str">
        <f>IF($AQ$17=0,"","上限額③'")</f>
        <v>上限額③'</v>
      </c>
      <c r="AU53" s="21"/>
      <c r="AV53" s="10"/>
      <c r="AW53" s="37"/>
      <c r="AX53" s="37"/>
      <c r="AY53" s="108"/>
      <c r="AZ53" s="108"/>
      <c r="BA53" s="108"/>
      <c r="BB53" s="108"/>
    </row>
    <row r="54" spans="2:71" ht="25.5" customHeight="1">
      <c r="B54" s="21"/>
      <c r="C54" s="213"/>
      <c r="J54" s="213"/>
      <c r="K54" s="216"/>
      <c r="L54" s="21"/>
      <c r="M54" s="26"/>
      <c r="N54" s="21"/>
      <c r="O54" s="210"/>
      <c r="P54" s="210"/>
      <c r="Q54" s="21"/>
      <c r="R54" s="21"/>
      <c r="S54" s="21"/>
      <c r="T54" s="21"/>
      <c r="U54" s="211"/>
      <c r="V54" s="211"/>
      <c r="W54" s="211"/>
      <c r="X54" s="211"/>
      <c r="Y54" s="44"/>
      <c r="Z54" s="212"/>
      <c r="AA54" s="212"/>
      <c r="AB54" s="44"/>
      <c r="AC54" s="209"/>
      <c r="AD54" s="209"/>
      <c r="AE54" s="209"/>
      <c r="AF54" s="209"/>
      <c r="AG54" s="209"/>
      <c r="AH54" s="44"/>
      <c r="AI54" s="219"/>
      <c r="AJ54" s="219"/>
      <c r="AK54" s="219"/>
      <c r="AL54" s="219"/>
      <c r="AM54" s="219"/>
      <c r="AN54" s="6"/>
      <c r="AO54" s="215"/>
      <c r="AP54" s="215"/>
      <c r="AQ54" s="215"/>
      <c r="AR54" s="215"/>
      <c r="AS54" s="215"/>
      <c r="AT54" s="143"/>
      <c r="AU54" s="21"/>
      <c r="AV54" s="10"/>
      <c r="AW54" s="37"/>
      <c r="AX54" s="37"/>
      <c r="AY54" s="108"/>
      <c r="AZ54" s="108"/>
      <c r="BA54" s="108"/>
      <c r="BB54" s="108"/>
    </row>
    <row r="55" spans="2:71" ht="14.25" customHeight="1">
      <c r="B55" s="21"/>
      <c r="J55" s="213" t="str">
        <f>IF($AQ$17=0,"","(運    賃)")</f>
        <v>(運    賃)</v>
      </c>
      <c r="K55" s="21"/>
      <c r="L55" s="21"/>
      <c r="M55" s="26" t="str">
        <f>IF($AQ$17=0,"","(下限額)")</f>
        <v>(下限額)</v>
      </c>
      <c r="N55" s="21"/>
      <c r="Q55" s="21"/>
      <c r="R55" s="21"/>
      <c r="S55" s="21"/>
      <c r="T55" s="21"/>
      <c r="U55" s="246">
        <f ca="1">IF($AQ$17=0,"",S9)</f>
        <v>4490</v>
      </c>
      <c r="V55" s="246"/>
      <c r="W55" s="246"/>
      <c r="X55" s="246"/>
      <c r="Y55" s="44" t="str">
        <f>IF($AQ$17=0,"","×")</f>
        <v>×</v>
      </c>
      <c r="Z55" s="248">
        <f>IF($AQ$17=0,"",IF(J42="","",+$J$42/100))</f>
        <v>0</v>
      </c>
      <c r="AA55" s="248"/>
      <c r="AB55" s="44" t="str">
        <f>IF($AQ$17=0,"","×")</f>
        <v>×</v>
      </c>
      <c r="AC55" s="239">
        <f>IF($AQ$17=0,"",$AQ$17)</f>
        <v>2</v>
      </c>
      <c r="AD55" s="239"/>
      <c r="AE55" s="239"/>
      <c r="AF55" s="239"/>
      <c r="AG55" s="239"/>
      <c r="AH55" s="44" t="str">
        <f>IF($AQ$17=0,"","＝")</f>
        <v>＝</v>
      </c>
      <c r="AI55" s="283">
        <f ca="1">IF($AQ$17=0,"",IF(J42="","",ROUND(U55*Z55*AE55,0)))</f>
        <v>0</v>
      </c>
      <c r="AJ55" s="283"/>
      <c r="AK55" s="283"/>
      <c r="AL55" s="283"/>
      <c r="AM55" s="283"/>
      <c r="AQ55" s="140"/>
      <c r="AR55" s="140"/>
      <c r="AS55" s="140"/>
      <c r="AT55" s="21"/>
      <c r="AU55" s="21"/>
      <c r="AV55" s="10"/>
      <c r="AW55" s="37"/>
      <c r="AX55" s="37"/>
      <c r="AY55" s="108"/>
      <c r="AZ55" s="108"/>
      <c r="BA55" s="108"/>
      <c r="BB55" s="108"/>
    </row>
    <row r="56" spans="2:71" ht="18.75">
      <c r="C56" s="213"/>
      <c r="J56" s="213" t="str">
        <f>IF($AQ$17=0,"",IF($BA$75=FALSE,"","(交替運転者配置料金)"))</f>
        <v>(交替運転者配置料金)</v>
      </c>
      <c r="K56" s="216"/>
      <c r="L56" s="21"/>
      <c r="M56" s="26" t="str">
        <f>IF($AQ$17=0,"",IF($BA$75=FALSE,"","(下限額)"))</f>
        <v>(下限額)</v>
      </c>
      <c r="O56" s="210"/>
      <c r="P56" s="210"/>
      <c r="Q56" s="21"/>
      <c r="R56" s="21"/>
      <c r="S56" s="21"/>
      <c r="T56" s="21"/>
      <c r="U56" s="246">
        <f ca="1">IF($AQ$17=0,"",IF($BA$75=FALSE,"",N74))</f>
        <v>2130</v>
      </c>
      <c r="V56" s="246"/>
      <c r="W56" s="246"/>
      <c r="X56" s="246"/>
      <c r="Y56" s="44" t="str">
        <f>IF($AQ$17=0,"",IF($BA$75=FALSE,"","×"))</f>
        <v>×</v>
      </c>
      <c r="Z56" s="257">
        <f>IF($AQ$17=0,"",IF(BA75=FALSE,"",IF(J42="","",$J$42/100)))</f>
        <v>0</v>
      </c>
      <c r="AA56" s="257"/>
      <c r="AB56" s="44" t="str">
        <f>IF($AQ$17=0,"",IF($BA$75=FALSE,"","×"))</f>
        <v>×</v>
      </c>
      <c r="AC56" s="239">
        <f>IF($AQ$17=0,"",IF($BA$75=FALSE,"",$AQ$17))</f>
        <v>2</v>
      </c>
      <c r="AD56" s="239"/>
      <c r="AE56" s="239"/>
      <c r="AF56" s="239"/>
      <c r="AG56" s="239"/>
      <c r="AH56" s="44" t="str">
        <f>IF($AQ$17=0,"",IF($BA$75=FALSE,"","＝"))</f>
        <v>＝</v>
      </c>
      <c r="AI56" s="283">
        <f ca="1">IF($AQ$17=0,"",IF($BA$75=FALSE,"",IF(J42="","",ROUND(U56*Z56*AC56,0))))</f>
        <v>0</v>
      </c>
      <c r="AJ56" s="283"/>
      <c r="AK56" s="283"/>
      <c r="AL56" s="283"/>
      <c r="AM56" s="283"/>
      <c r="AN56" s="6" t="str">
        <f>IF($AQ$17=0,"",IF($G$74=FALSE,"","計"))</f>
        <v>計</v>
      </c>
      <c r="AO56" s="260">
        <f ca="1">IF($AQ$17=0,"",IF(BA75=TRUE,AI55+AI56,AI55))</f>
        <v>0</v>
      </c>
      <c r="AP56" s="260"/>
      <c r="AQ56" s="260"/>
      <c r="AR56" s="260"/>
      <c r="AS56" s="260"/>
      <c r="AT56" s="217" t="str">
        <f>IF($AQ$17=0,"","下限額④'")</f>
        <v>下限額④'</v>
      </c>
      <c r="AU56" s="21"/>
      <c r="AV56" s="10"/>
      <c r="AW56" s="176"/>
      <c r="AX56" s="176"/>
      <c r="AY56" s="108"/>
      <c r="AZ56" s="108"/>
      <c r="BA56" s="108"/>
      <c r="BB56" s="108"/>
    </row>
    <row r="57" spans="2:71" ht="18.75">
      <c r="C57" s="213"/>
      <c r="J57" s="213"/>
      <c r="K57" s="216"/>
      <c r="L57" s="21"/>
      <c r="M57" s="26"/>
      <c r="O57" s="210"/>
      <c r="P57" s="210"/>
      <c r="Q57" s="21"/>
      <c r="R57" s="21"/>
      <c r="S57" s="21"/>
      <c r="T57" s="21"/>
      <c r="U57" s="211"/>
      <c r="V57" s="211"/>
      <c r="W57" s="211"/>
      <c r="X57" s="211"/>
      <c r="Y57" s="44"/>
      <c r="Z57" s="214"/>
      <c r="AA57" s="214"/>
      <c r="AB57" s="44"/>
      <c r="AC57" s="209"/>
      <c r="AD57" s="209"/>
      <c r="AE57" s="209"/>
      <c r="AF57" s="209"/>
      <c r="AG57" s="209"/>
      <c r="AH57" s="44"/>
      <c r="AI57" s="219"/>
      <c r="AJ57" s="219"/>
      <c r="AK57" s="219"/>
      <c r="AL57" s="219"/>
      <c r="AM57" s="219"/>
      <c r="AN57" s="6"/>
      <c r="AO57" s="215"/>
      <c r="AP57" s="215"/>
      <c r="AQ57" s="215"/>
      <c r="AR57" s="215"/>
      <c r="AS57" s="215"/>
      <c r="AT57" s="217"/>
      <c r="AU57" s="21"/>
      <c r="AV57" s="10"/>
      <c r="AW57" s="178"/>
      <c r="AX57" s="178"/>
      <c r="AY57" s="108"/>
      <c r="AZ57" s="108"/>
      <c r="BA57" s="108"/>
      <c r="BB57" s="108"/>
    </row>
    <row r="58" spans="2:71" ht="18.75">
      <c r="C58" s="10"/>
      <c r="E58" s="92" t="s">
        <v>29</v>
      </c>
      <c r="K58" s="3"/>
      <c r="AI58" s="3"/>
      <c r="AJ58" s="3"/>
      <c r="AY58" s="108"/>
      <c r="AZ58" s="108"/>
      <c r="BA58" s="108"/>
      <c r="BB58" s="108"/>
    </row>
    <row r="59" spans="2:71" ht="25.5" customHeight="1">
      <c r="C59" s="10"/>
      <c r="D59" s="64" t="s">
        <v>65</v>
      </c>
      <c r="AJ59" s="3"/>
      <c r="AY59" s="108"/>
      <c r="AZ59" s="108"/>
      <c r="BA59" s="108"/>
      <c r="BB59" s="108"/>
    </row>
    <row r="60" spans="2:71" ht="25.5" customHeight="1">
      <c r="C60" s="10"/>
      <c r="D60" s="64"/>
      <c r="M60" s="5" t="str">
        <f>IF(BA62=FALSE,"","上限")</f>
        <v>上限</v>
      </c>
      <c r="Q60" s="5" t="str">
        <f>IF(BA62=FALSE,"","下限")</f>
        <v>下限</v>
      </c>
      <c r="AJ60" s="3"/>
      <c r="AY60" s="108"/>
      <c r="AZ60" s="108"/>
      <c r="BA60" s="108"/>
      <c r="BB60" s="108"/>
    </row>
    <row r="61" spans="2:71" ht="18.75">
      <c r="G61" s="259"/>
      <c r="H61" s="259"/>
      <c r="J61" s="5" t="str">
        <f>IF(BA62=FALSE,"","割増率")</f>
        <v>割増率</v>
      </c>
      <c r="M61" s="313">
        <v>50</v>
      </c>
      <c r="N61" s="313"/>
      <c r="O61" s="220" t="str">
        <f>IF(BA62=FALSE,"","％")</f>
        <v>％</v>
      </c>
      <c r="P61" s="202" t="str">
        <f>IF(BA62=FALSE,"","～")</f>
        <v>～</v>
      </c>
      <c r="Q61" s="313">
        <v>0</v>
      </c>
      <c r="R61" s="313"/>
      <c r="S61" s="3" t="str">
        <f>IF(BA62=FALSE,"","％")</f>
        <v>％</v>
      </c>
      <c r="T61" s="24"/>
      <c r="U61" s="46"/>
      <c r="V61" s="46"/>
      <c r="W61" s="3"/>
      <c r="Y61" s="240"/>
      <c r="Z61" s="240"/>
      <c r="AA61" s="240"/>
      <c r="AB61" s="240"/>
      <c r="AC61" s="240"/>
      <c r="AE61" s="240"/>
      <c r="AF61" s="240"/>
      <c r="AG61" s="240"/>
      <c r="AY61" s="108"/>
      <c r="AZ61" s="108"/>
      <c r="BA61" s="108"/>
      <c r="BB61" s="108"/>
    </row>
    <row r="62" spans="2:71" ht="18.75">
      <c r="C62" s="5" t="str">
        <f>IF($BA$62=FALSE,"","[上限50％]")</f>
        <v>[上限50％]</v>
      </c>
      <c r="P62" s="1"/>
      <c r="Y62" s="233"/>
      <c r="Z62" s="233"/>
      <c r="AA62" s="233"/>
      <c r="AB62" s="233"/>
      <c r="AC62" s="233"/>
      <c r="AD62" s="233"/>
      <c r="AE62" s="233"/>
      <c r="AF62" s="233"/>
      <c r="AG62" s="233"/>
      <c r="AH62" s="233"/>
      <c r="AI62" s="233"/>
      <c r="AJ62" s="233"/>
      <c r="AK62" s="233"/>
      <c r="AL62" s="233"/>
      <c r="AM62" s="233"/>
      <c r="AN62" s="233"/>
      <c r="AO62" s="233"/>
      <c r="AP62" s="233"/>
      <c r="AQ62" s="233"/>
      <c r="AR62" s="233"/>
      <c r="AY62" s="183"/>
      <c r="AZ62" s="183"/>
      <c r="BA62" s="138" t="b">
        <v>1</v>
      </c>
      <c r="BB62" s="182"/>
    </row>
    <row r="63" spans="2:71" ht="18.75">
      <c r="D63" s="233"/>
      <c r="E63" s="233"/>
      <c r="F63" s="233"/>
      <c r="G63" s="278" t="str">
        <f>IF(BA62=FALSE,"","運賃")</f>
        <v>運賃</v>
      </c>
      <c r="H63" s="278"/>
      <c r="I63" s="278"/>
      <c r="J63" s="278"/>
      <c r="K63" s="233"/>
      <c r="L63" s="278" t="str">
        <f>IF(BA62=FALSE,"","割増率")</f>
        <v>割増率</v>
      </c>
      <c r="M63" s="278"/>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Y63" s="142"/>
      <c r="AZ63" s="108"/>
      <c r="BA63" s="108"/>
      <c r="BB63" s="182"/>
    </row>
    <row r="64" spans="2:71" ht="18.75">
      <c r="D64" s="233"/>
      <c r="E64" s="233"/>
      <c r="F64" s="279">
        <f ca="1">IF(BA62=FALSE,"",IF(BC27=1,AF30,AB37))</f>
        <v>230160</v>
      </c>
      <c r="G64" s="279"/>
      <c r="H64" s="279"/>
      <c r="I64" s="279"/>
      <c r="J64" s="279"/>
      <c r="K64" s="234" t="str">
        <f>IF(BA62=FALSE,"","×")</f>
        <v>×</v>
      </c>
      <c r="L64" s="280">
        <f>IF(BA62=FALSE,"",IF(M61="","",$M$61/100))</f>
        <v>0.5</v>
      </c>
      <c r="M64" s="280"/>
      <c r="N64" s="235"/>
      <c r="O64" s="173" t="str">
        <f>IF(BA62=FALSE,"","=")</f>
        <v>=</v>
      </c>
      <c r="P64" s="281">
        <f ca="1">IF(BA62=FALSE,"",IF(ISERROR(ROUND(F64*L64,0)),"",ROUND(F64*L64,0)))</f>
        <v>115080</v>
      </c>
      <c r="Q64" s="281"/>
      <c r="R64" s="281"/>
      <c r="S64" s="281"/>
      <c r="T64" s="281"/>
      <c r="U64" s="281"/>
      <c r="V64" s="281"/>
      <c r="W64" s="233" t="str">
        <f>IF(BA62=FALSE,"","上限額⑤")</f>
        <v>上限額⑤</v>
      </c>
      <c r="X64" s="173"/>
      <c r="Y64" s="173"/>
      <c r="Z64" s="173"/>
      <c r="AA64" s="233"/>
      <c r="AB64" s="233"/>
      <c r="AC64" s="211"/>
      <c r="AD64" s="211"/>
      <c r="AE64" s="212"/>
      <c r="AF64" s="212"/>
      <c r="AG64" s="212"/>
      <c r="AI64" s="218"/>
      <c r="AJ64" s="218"/>
      <c r="AK64" s="218"/>
      <c r="AL64" s="218"/>
      <c r="AM64" s="218"/>
      <c r="AN64" s="218"/>
      <c r="AO64" s="218"/>
      <c r="AP64" s="10"/>
      <c r="AY64" s="142"/>
      <c r="AZ64" s="108"/>
      <c r="BA64" s="108"/>
      <c r="BB64" s="182"/>
    </row>
    <row r="65" spans="1:62" ht="18.75">
      <c r="F65" s="246">
        <f ca="1">IF(BA62=FALSE,"",IF(BC27=1,AF32,AF32))</f>
        <v>156330</v>
      </c>
      <c r="G65" s="246"/>
      <c r="H65" s="246"/>
      <c r="I65" s="246"/>
      <c r="J65" s="246"/>
      <c r="K65" s="211" t="str">
        <f>IF(BA62=FALSE,"","×")</f>
        <v>×</v>
      </c>
      <c r="L65" s="248">
        <f>IF(BA62=FALSE,"",IF(M61="","",$M$61/100))</f>
        <v>0.5</v>
      </c>
      <c r="M65" s="248"/>
      <c r="N65" s="201"/>
      <c r="O65" s="5" t="str">
        <f>IF(BA62=FALSE,"","=")</f>
        <v>=</v>
      </c>
      <c r="P65" s="282">
        <f ca="1">IF(BA62=FALSE,"",IF(ISERROR(ROUND(F65*L65,0)),"",ROUND(F65*L65,0)))</f>
        <v>78165</v>
      </c>
      <c r="Q65" s="282"/>
      <c r="R65" s="282"/>
      <c r="S65" s="282"/>
      <c r="T65" s="282"/>
      <c r="U65" s="282"/>
      <c r="V65" s="282"/>
      <c r="W65" s="10" t="str">
        <f>IF(BA62=FALSE,"","下限額⑥")</f>
        <v>下限額⑥</v>
      </c>
      <c r="AA65" s="211"/>
      <c r="AB65" s="211"/>
      <c r="AC65" s="211"/>
      <c r="AD65" s="211"/>
      <c r="AE65" s="212"/>
      <c r="AF65" s="212"/>
      <c r="AG65" s="212"/>
      <c r="AI65" s="218"/>
      <c r="AJ65" s="218"/>
      <c r="AK65" s="218"/>
      <c r="AL65" s="218"/>
      <c r="AM65" s="218"/>
      <c r="AN65" s="218"/>
      <c r="AO65" s="218"/>
      <c r="AP65" s="10"/>
      <c r="AY65" s="142"/>
      <c r="AZ65" s="108"/>
      <c r="BA65" s="108"/>
      <c r="BB65" s="182"/>
    </row>
    <row r="66" spans="1:62" ht="18.75">
      <c r="C66" s="5" t="str">
        <f>IF($BA$62=FALSE,"","[下限0％]")</f>
        <v>[下限0％]</v>
      </c>
      <c r="P66" s="1"/>
      <c r="Y66" s="211"/>
      <c r="Z66" s="211"/>
      <c r="AA66" s="211"/>
      <c r="AB66" s="211"/>
      <c r="AC66" s="211"/>
      <c r="AD66" s="211"/>
      <c r="AE66" s="212"/>
      <c r="AF66" s="212"/>
      <c r="AG66" s="212"/>
      <c r="AI66" s="218"/>
      <c r="AJ66" s="218"/>
      <c r="AK66" s="218"/>
      <c r="AL66" s="218"/>
      <c r="AM66" s="218"/>
      <c r="AN66" s="218"/>
      <c r="AO66" s="218"/>
      <c r="AP66" s="10"/>
      <c r="AY66" s="142"/>
      <c r="AZ66" s="108"/>
      <c r="BA66" s="108"/>
      <c r="BB66" s="182"/>
    </row>
    <row r="67" spans="1:62" ht="18.75">
      <c r="D67" s="233"/>
      <c r="E67" s="233"/>
      <c r="F67" s="246">
        <f ca="1">IF(BA62=FALSE,"",IF(BC27=1,AF30,AB37))</f>
        <v>230160</v>
      </c>
      <c r="G67" s="246"/>
      <c r="H67" s="246"/>
      <c r="I67" s="246"/>
      <c r="J67" s="246"/>
      <c r="K67" s="211" t="str">
        <f>IF(BA62=FALSE,"","×")</f>
        <v>×</v>
      </c>
      <c r="L67" s="248">
        <f>IF(BA62=FALSE,"",IF(Q61="","",$Q$61/100))</f>
        <v>0</v>
      </c>
      <c r="M67" s="248"/>
      <c r="N67" s="201"/>
      <c r="O67" s="5" t="str">
        <f>IF(BA62=FALSE,"","=")</f>
        <v>=</v>
      </c>
      <c r="P67" s="282">
        <f ca="1">IF(BA62=FALSE,"",IF(ISERROR(ROUND(F67*L67,0)),"",ROUND(F67*L67,0)))</f>
        <v>0</v>
      </c>
      <c r="Q67" s="282"/>
      <c r="R67" s="282"/>
      <c r="S67" s="282"/>
      <c r="T67" s="282"/>
      <c r="U67" s="282"/>
      <c r="V67" s="282"/>
      <c r="W67" s="10" t="str">
        <f>IF(BA62=FALSE,"","上限額⑤'")</f>
        <v>上限額⑤'</v>
      </c>
      <c r="Z67" s="211"/>
      <c r="AA67" s="211"/>
      <c r="AB67" s="211"/>
      <c r="AC67" s="211"/>
      <c r="AD67" s="211"/>
      <c r="AE67" s="212"/>
      <c r="AF67" s="212"/>
      <c r="AG67" s="212"/>
      <c r="AI67" s="218"/>
      <c r="AJ67" s="218"/>
      <c r="AK67" s="218"/>
      <c r="AL67" s="218"/>
      <c r="AM67" s="218"/>
      <c r="AN67" s="218"/>
      <c r="AO67" s="218"/>
      <c r="AP67" s="10"/>
      <c r="AY67" s="142"/>
      <c r="AZ67" s="108"/>
      <c r="BA67" s="108"/>
      <c r="BB67" s="182"/>
    </row>
    <row r="68" spans="1:62" ht="18.75">
      <c r="D68" s="233"/>
      <c r="E68" s="233"/>
      <c r="F68" s="246">
        <f ca="1">IF(BA62=FALSE,"",IF(BC27=1,AF32,AF32))</f>
        <v>156330</v>
      </c>
      <c r="G68" s="246"/>
      <c r="H68" s="246"/>
      <c r="I68" s="246"/>
      <c r="J68" s="246"/>
      <c r="K68" s="211" t="str">
        <f>IF(BA62=FALSE,"","×")</f>
        <v>×</v>
      </c>
      <c r="L68" s="248">
        <f>IF(BA62=FALSE,"",IF(Q61="","",$Q$61/100))</f>
        <v>0</v>
      </c>
      <c r="M68" s="248"/>
      <c r="N68" s="201"/>
      <c r="O68" s="5" t="str">
        <f>IF(BA62=FALSE,"","=")</f>
        <v>=</v>
      </c>
      <c r="P68" s="282">
        <f ca="1">IF(BA62=FALSE,"",IF(ISERROR(ROUND(F68*L68,0)),"",ROUND(F68*L68,0)))</f>
        <v>0</v>
      </c>
      <c r="Q68" s="282"/>
      <c r="R68" s="282"/>
      <c r="S68" s="282"/>
      <c r="T68" s="282"/>
      <c r="U68" s="282"/>
      <c r="V68" s="282"/>
      <c r="W68" s="10" t="str">
        <f>IF(BA62=FALSE,"","下限額⑥'")</f>
        <v>下限額⑥'</v>
      </c>
      <c r="Z68" s="211"/>
      <c r="AA68" s="211"/>
      <c r="AB68" s="211"/>
      <c r="AC68" s="211"/>
      <c r="AD68" s="211"/>
      <c r="AE68" s="212"/>
      <c r="AF68" s="212"/>
      <c r="AG68" s="212"/>
      <c r="AI68" s="218"/>
      <c r="AJ68" s="218"/>
      <c r="AK68" s="218"/>
      <c r="AL68" s="218"/>
      <c r="AM68" s="218"/>
      <c r="AN68" s="218"/>
      <c r="AO68" s="218"/>
      <c r="AP68" s="10"/>
      <c r="AY68" s="142"/>
      <c r="AZ68" s="108"/>
      <c r="BA68" s="108"/>
      <c r="BB68" s="182"/>
    </row>
    <row r="69" spans="1:62" ht="18.75">
      <c r="P69" s="1"/>
      <c r="Y69" s="146"/>
      <c r="Z69" s="146"/>
      <c r="AA69" s="146"/>
      <c r="AB69" s="146"/>
      <c r="AC69" s="146"/>
      <c r="AD69" s="146"/>
      <c r="AE69" s="147"/>
      <c r="AF69" s="147"/>
      <c r="AG69" s="147"/>
      <c r="AI69" s="159"/>
      <c r="AJ69" s="159"/>
      <c r="AK69" s="159"/>
      <c r="AL69" s="159"/>
      <c r="AM69" s="159"/>
      <c r="AN69" s="159"/>
      <c r="AO69" s="159"/>
      <c r="AP69" s="94"/>
      <c r="AY69" s="108"/>
      <c r="AZ69" s="108"/>
      <c r="BA69" s="108"/>
      <c r="BB69" s="182"/>
    </row>
    <row r="70" spans="1:62" ht="18.75">
      <c r="A70" s="10"/>
      <c r="B70" s="10"/>
      <c r="E70" s="129" t="s">
        <v>30</v>
      </c>
      <c r="M70" s="3"/>
      <c r="AY70" s="108"/>
      <c r="AZ70" s="108"/>
      <c r="BA70" s="108"/>
      <c r="BB70" s="108"/>
    </row>
    <row r="71" spans="1:62">
      <c r="A71" s="10"/>
      <c r="B71" s="10"/>
      <c r="D71" s="286" t="s">
        <v>66</v>
      </c>
      <c r="E71" s="286"/>
      <c r="F71" s="286"/>
      <c r="G71" s="286"/>
      <c r="H71" s="286"/>
      <c r="I71" s="286"/>
      <c r="J71" s="286"/>
      <c r="K71" s="286"/>
      <c r="L71" s="286"/>
      <c r="M71" s="286"/>
      <c r="N71" s="286"/>
      <c r="O71" s="286"/>
      <c r="P71" s="286"/>
      <c r="Q71" s="286"/>
      <c r="R71" s="286"/>
      <c r="S71" s="286"/>
      <c r="T71" s="286"/>
      <c r="AY71" s="108"/>
      <c r="AZ71" s="108"/>
      <c r="BA71" s="108"/>
      <c r="BB71" s="108"/>
    </row>
    <row r="72" spans="1:62">
      <c r="A72" s="10"/>
      <c r="B72" s="10"/>
      <c r="D72" s="286"/>
      <c r="E72" s="286"/>
      <c r="F72" s="286"/>
      <c r="G72" s="286"/>
      <c r="H72" s="286"/>
      <c r="I72" s="286"/>
      <c r="J72" s="286"/>
      <c r="K72" s="286"/>
      <c r="L72" s="286"/>
      <c r="M72" s="286"/>
      <c r="N72" s="286"/>
      <c r="O72" s="286"/>
      <c r="P72" s="286"/>
      <c r="Q72" s="286"/>
      <c r="R72" s="286"/>
      <c r="S72" s="286"/>
      <c r="T72" s="286"/>
      <c r="Y72" s="21"/>
      <c r="Z72" s="21"/>
      <c r="AA72" s="21"/>
      <c r="AB72" s="21"/>
      <c r="AC72" s="21"/>
      <c r="AD72" s="21"/>
      <c r="AE72" s="21"/>
      <c r="AY72" s="108"/>
      <c r="AZ72" s="108"/>
      <c r="BA72" s="108"/>
      <c r="BB72" s="108"/>
      <c r="BC72" s="170"/>
      <c r="BJ72" s="171"/>
    </row>
    <row r="73" spans="1:62" hidden="1">
      <c r="A73" s="10"/>
      <c r="B73" s="10"/>
      <c r="D73" s="158"/>
      <c r="E73" s="158"/>
      <c r="F73" s="158"/>
      <c r="G73" s="158"/>
      <c r="H73" s="158"/>
      <c r="I73" s="158"/>
      <c r="J73" s="330" t="str">
        <f>IF(BA75=FALSE,"","上限額")</f>
        <v>上限額</v>
      </c>
      <c r="K73" s="330"/>
      <c r="L73" s="330"/>
      <c r="M73" s="65"/>
      <c r="N73" s="330" t="str">
        <f>IF(BA75=FALSE,"","下限額")</f>
        <v>下限額</v>
      </c>
      <c r="O73" s="330"/>
      <c r="P73" s="330"/>
      <c r="AN73" s="10"/>
      <c r="AO73" s="10"/>
      <c r="AP73" s="10"/>
      <c r="AQ73" s="10"/>
      <c r="AR73" s="10"/>
      <c r="AS73" s="10"/>
      <c r="AT73" s="10"/>
      <c r="AU73" s="10"/>
      <c r="AV73" s="10"/>
      <c r="AW73" s="37"/>
      <c r="AX73" s="37"/>
      <c r="AY73" s="108"/>
      <c r="AZ73" s="108"/>
      <c r="BA73" s="108"/>
      <c r="BB73" s="108"/>
      <c r="BC73" s="170"/>
      <c r="BJ73" s="171"/>
    </row>
    <row r="74" spans="1:62">
      <c r="A74" s="10"/>
      <c r="G74" s="287" t="str">
        <f>IF(BA75=FALSE,"","時間単価")</f>
        <v>時間単価</v>
      </c>
      <c r="H74" s="287"/>
      <c r="I74" s="287"/>
      <c r="J74" s="315">
        <f ca="1">IF(BA75=FALSE,"",INDEX(INDIRECT(VLOOKUP(BC5,BD75:BF86,2,FALSE)),2,1))</f>
        <v>3080</v>
      </c>
      <c r="K74" s="315"/>
      <c r="L74" s="315"/>
      <c r="M74" s="2" t="str">
        <f>IF(BA75=FALSE,"","～")</f>
        <v>～</v>
      </c>
      <c r="N74" s="315">
        <f ca="1">IF(BA75=FALSE,"",INDEX(INDIRECT(VLOOKUP(BC5,BD75:BF86,2,FALSE)),2,2))</f>
        <v>2130</v>
      </c>
      <c r="O74" s="315"/>
      <c r="P74" s="315"/>
      <c r="Q74" s="61"/>
      <c r="AO74" s="10"/>
      <c r="AP74" s="10"/>
      <c r="AQ74" s="10"/>
      <c r="AR74" s="10"/>
      <c r="AS74" s="10"/>
      <c r="AT74" s="10"/>
      <c r="AU74" s="10"/>
      <c r="AV74" s="10"/>
      <c r="AW74" s="37"/>
      <c r="AX74" s="37"/>
      <c r="AY74" s="108"/>
      <c r="AZ74" s="108"/>
      <c r="BA74" s="108"/>
      <c r="BB74" s="108"/>
      <c r="BC74" s="170"/>
      <c r="BJ74" s="171"/>
    </row>
    <row r="75" spans="1:62">
      <c r="A75" s="10"/>
      <c r="C75" s="10"/>
      <c r="F75" s="152"/>
      <c r="G75" s="152"/>
      <c r="H75" s="152"/>
      <c r="AN75" s="10"/>
      <c r="AO75" s="10"/>
      <c r="AP75" s="10"/>
      <c r="AQ75" s="10"/>
      <c r="AR75" s="10"/>
      <c r="AS75" s="10"/>
      <c r="AT75" s="10"/>
      <c r="AU75" s="10"/>
      <c r="AV75" s="10"/>
      <c r="AW75" s="37"/>
      <c r="AX75" s="37"/>
      <c r="AY75" s="108"/>
      <c r="AZ75" s="108"/>
      <c r="BA75" s="139" t="b">
        <v>1</v>
      </c>
      <c r="BB75" s="108"/>
      <c r="BD75" s="37">
        <v>1</v>
      </c>
      <c r="BE75" s="37" t="s">
        <v>123</v>
      </c>
    </row>
    <row r="76" spans="1:62">
      <c r="A76" s="10"/>
      <c r="C76" s="10"/>
      <c r="G76" s="287" t="str">
        <f>IF(BA75=FALSE,"","キロ単価")</f>
        <v>キロ単価</v>
      </c>
      <c r="H76" s="287"/>
      <c r="I76" s="287"/>
      <c r="J76" s="315">
        <f ca="1">IF(BA75=FALSE,"",INDEX(INDIRECT(VLOOKUP(BC5,BD75:BF85,2,FALSE)),1,1))</f>
        <v>40</v>
      </c>
      <c r="K76" s="315"/>
      <c r="L76" s="315"/>
      <c r="M76" s="2" t="str">
        <f>IF(BA75=FALSE,"","～")</f>
        <v>～</v>
      </c>
      <c r="N76" s="315">
        <f ca="1">IF(BA75=FALSE,"",INDEX(INDIRECT(VLOOKUP(BC5,BD75:BF85,2,FALSE)),1,2))</f>
        <v>30</v>
      </c>
      <c r="O76" s="315"/>
      <c r="P76" s="315"/>
      <c r="Q76" s="10"/>
      <c r="U76" s="10"/>
      <c r="V76" s="10"/>
      <c r="W76" s="10"/>
      <c r="X76" s="10"/>
      <c r="Y76" s="10"/>
      <c r="Z76" s="10"/>
      <c r="AA76" s="10"/>
      <c r="AE76" s="44"/>
      <c r="AN76" s="10"/>
      <c r="AO76" s="10"/>
      <c r="AP76" s="10"/>
      <c r="AQ76" s="10"/>
      <c r="AR76" s="10"/>
      <c r="AS76" s="10"/>
      <c r="AT76" s="10"/>
      <c r="AU76" s="10"/>
      <c r="AV76" s="10"/>
      <c r="AW76" s="37"/>
      <c r="AX76" s="37"/>
      <c r="AY76" s="108"/>
      <c r="AZ76" s="108"/>
      <c r="BA76" s="108"/>
      <c r="BB76" s="108"/>
      <c r="BD76" s="37">
        <v>2</v>
      </c>
      <c r="BE76" s="37" t="s">
        <v>124</v>
      </c>
    </row>
    <row r="77" spans="1:62" ht="18.75">
      <c r="A77" s="10"/>
      <c r="N77" s="6"/>
      <c r="O77" s="6"/>
      <c r="P77" s="6"/>
      <c r="R77" s="16"/>
      <c r="S77" s="16"/>
      <c r="AJ77" s="6"/>
      <c r="AK77" s="6"/>
      <c r="AL77" s="6"/>
      <c r="AM77" s="6"/>
      <c r="AN77" s="6"/>
      <c r="AO77" s="6"/>
      <c r="AP77" s="6"/>
      <c r="AQ77" s="6"/>
      <c r="AR77" s="6"/>
      <c r="AT77" s="44"/>
      <c r="AY77" s="108"/>
      <c r="AZ77" s="108"/>
      <c r="BA77" s="108"/>
      <c r="BB77" s="108"/>
      <c r="BD77" s="37">
        <v>3</v>
      </c>
      <c r="BE77" s="37" t="s">
        <v>125</v>
      </c>
    </row>
    <row r="78" spans="1:62" ht="18.75">
      <c r="A78" s="10"/>
      <c r="J78" s="240" t="str">
        <f>IF(BA75=FALSE,"","時間単価")</f>
        <v>時間単価</v>
      </c>
      <c r="K78" s="240"/>
      <c r="L78" s="240"/>
      <c r="M78" s="1"/>
      <c r="N78" s="240" t="str">
        <f>IF(BA75=FALSE,"","総拘束時間")</f>
        <v>総拘束時間</v>
      </c>
      <c r="O78" s="240"/>
      <c r="P78" s="240"/>
      <c r="R78" s="240" t="str">
        <f>IF(BA75=FALSE,"","キロ単価")</f>
        <v>キロ単価</v>
      </c>
      <c r="S78" s="240"/>
      <c r="T78" s="240"/>
      <c r="U78" s="240"/>
      <c r="W78" s="240" t="str">
        <f>IF(BA75=FALSE,"","走行距離")</f>
        <v>走行距離</v>
      </c>
      <c r="X78" s="240"/>
      <c r="Y78" s="240"/>
      <c r="AJ78" s="6"/>
      <c r="AK78" s="6"/>
      <c r="AL78" s="6"/>
      <c r="AM78" s="6"/>
      <c r="AN78" s="6"/>
      <c r="AO78" s="6"/>
      <c r="AP78" s="6"/>
      <c r="AQ78" s="6"/>
      <c r="AR78" s="6"/>
      <c r="AT78" s="44"/>
      <c r="AY78" s="108"/>
      <c r="AZ78" s="108"/>
      <c r="BA78" s="108"/>
      <c r="BB78" s="108"/>
      <c r="BD78" s="37">
        <v>4</v>
      </c>
      <c r="BE78" s="37" t="s">
        <v>126</v>
      </c>
    </row>
    <row r="79" spans="1:62" ht="18.75">
      <c r="A79" s="10"/>
      <c r="J79" s="246">
        <f ca="1">IF(BA75=FALSE,"",+$J$74)</f>
        <v>3080</v>
      </c>
      <c r="K79" s="246"/>
      <c r="L79" s="246"/>
      <c r="M79" s="5" t="str">
        <f>IF(BA75=FALSE,"","×")</f>
        <v>×</v>
      </c>
      <c r="N79" s="251">
        <f>IF(BA75=FALSE,"",+AF17)</f>
        <v>17</v>
      </c>
      <c r="O79" s="251"/>
      <c r="P79" s="251"/>
      <c r="Q79" s="5" t="str">
        <f>IF(BA75=FALSE,"","＋")</f>
        <v>＋</v>
      </c>
      <c r="R79" s="246">
        <f ca="1">IF(BA75=FALSE,"",+$J$76)</f>
        <v>40</v>
      </c>
      <c r="S79" s="246"/>
      <c r="T79" s="246"/>
      <c r="U79" s="246"/>
      <c r="V79" s="5" t="str">
        <f>IF(BC86=FALSE,"","×")</f>
        <v/>
      </c>
      <c r="W79" s="256">
        <f>IF(BA75=FALSE,"",IF($T$23="",$N$23,$T$23))</f>
        <v>800</v>
      </c>
      <c r="X79" s="256"/>
      <c r="Y79" s="256"/>
      <c r="Z79" s="5" t="str">
        <f>IF(BA75=FALSE,"","＝")</f>
        <v>＝</v>
      </c>
      <c r="AA79" s="314">
        <f ca="1">IF(BA75=FALSE,"",IF(OR(J74="",$AF$17=0,J76="",$N$23=""),"",ROUND(+$J$79*$N$79,0)+ROUND($R$79*$W$79,0)))</f>
        <v>84360</v>
      </c>
      <c r="AB79" s="314"/>
      <c r="AC79" s="314"/>
      <c r="AD79" s="314"/>
      <c r="AE79" s="314"/>
      <c r="AF79" s="314"/>
      <c r="AG79" s="314"/>
      <c r="AH79" s="10" t="str">
        <f>IF(BA75=FALSE,"","上限額⑦")</f>
        <v>上限額⑦</v>
      </c>
      <c r="AJ79" s="21"/>
      <c r="AK79" s="6"/>
      <c r="AL79" s="6"/>
      <c r="AM79" s="6"/>
      <c r="AN79" s="6"/>
      <c r="AO79" s="6"/>
      <c r="AP79" s="6"/>
      <c r="AQ79" s="6"/>
      <c r="AR79" s="6"/>
      <c r="AT79" s="44"/>
      <c r="AY79" s="108"/>
      <c r="AZ79" s="108"/>
      <c r="BA79" s="108"/>
      <c r="BB79" s="108"/>
      <c r="BD79" s="37">
        <v>5</v>
      </c>
      <c r="BE79" s="37" t="s">
        <v>127</v>
      </c>
    </row>
    <row r="80" spans="1:62" ht="18.75">
      <c r="A80" s="10"/>
      <c r="N80" s="6"/>
      <c r="O80" s="6"/>
      <c r="P80" s="6"/>
      <c r="R80" s="16"/>
      <c r="S80" s="16"/>
      <c r="AK80" s="6"/>
      <c r="AL80" s="6"/>
      <c r="AM80" s="6"/>
      <c r="AN80" s="6"/>
      <c r="AO80" s="6"/>
      <c r="AP80" s="6"/>
      <c r="AQ80" s="6"/>
      <c r="AR80" s="6"/>
      <c r="AT80" s="44"/>
      <c r="AY80" s="108"/>
      <c r="AZ80" s="108"/>
      <c r="BA80" s="108"/>
      <c r="BB80" s="108"/>
      <c r="BD80" s="37">
        <v>6</v>
      </c>
      <c r="BE80" s="37" t="s">
        <v>128</v>
      </c>
    </row>
    <row r="81" spans="1:57">
      <c r="A81" s="10"/>
      <c r="J81" s="240" t="str">
        <f>IF(BA75=FALSE,"","時間単価")</f>
        <v>時間単価</v>
      </c>
      <c r="K81" s="240"/>
      <c r="L81" s="240"/>
      <c r="M81" s="1"/>
      <c r="N81" s="240" t="str">
        <f>IF(BA75=FALSE,"","総拘束時間")</f>
        <v>総拘束時間</v>
      </c>
      <c r="O81" s="240"/>
      <c r="P81" s="240"/>
      <c r="R81" s="240" t="str">
        <f>IF(BA75=FALSE,"","キロ単価")</f>
        <v>キロ単価</v>
      </c>
      <c r="S81" s="240"/>
      <c r="T81" s="240"/>
      <c r="U81" s="240"/>
      <c r="W81" s="240" t="str">
        <f>IF(BA75=FALSE,"","走行距離")</f>
        <v>走行距離</v>
      </c>
      <c r="X81" s="240"/>
      <c r="Y81" s="240"/>
      <c r="AJ81" s="21"/>
      <c r="AK81" s="1"/>
      <c r="AL81" s="1"/>
      <c r="AM81" s="1"/>
      <c r="AN81" s="1"/>
      <c r="AO81" s="1"/>
      <c r="AP81" s="1"/>
      <c r="AQ81" s="1"/>
      <c r="AR81" s="1"/>
      <c r="AY81" s="108"/>
      <c r="AZ81" s="108"/>
      <c r="BA81" s="108"/>
      <c r="BB81" s="108"/>
      <c r="BD81" s="37">
        <v>7</v>
      </c>
      <c r="BE81" s="37" t="s">
        <v>129</v>
      </c>
    </row>
    <row r="82" spans="1:57" ht="18.75">
      <c r="A82" s="10"/>
      <c r="J82" s="246">
        <f ca="1">IF(BA75=FALSE,"",+$N$74)</f>
        <v>2130</v>
      </c>
      <c r="K82" s="246"/>
      <c r="L82" s="246"/>
      <c r="M82" s="5" t="str">
        <f>IF(BA75=FALSE,"","×")</f>
        <v>×</v>
      </c>
      <c r="N82" s="251">
        <f>IF(BA75=FALSE,"",+AF17)</f>
        <v>17</v>
      </c>
      <c r="O82" s="251"/>
      <c r="P82" s="251"/>
      <c r="Q82" s="5" t="str">
        <f>IF(BA75=FALSE,"","＋")</f>
        <v>＋</v>
      </c>
      <c r="R82" s="246">
        <f ca="1">IF(BA75=FALSE,"",+$N$76)</f>
        <v>30</v>
      </c>
      <c r="S82" s="246"/>
      <c r="T82" s="246"/>
      <c r="U82" s="246"/>
      <c r="V82" s="5" t="str">
        <f>IF(BA75=FALSE,"","×")</f>
        <v>×</v>
      </c>
      <c r="W82" s="256">
        <f>IF(BA75=FALSE,"",IF($T$23="",$N$23,$T$23))</f>
        <v>800</v>
      </c>
      <c r="X82" s="256"/>
      <c r="Y82" s="256"/>
      <c r="Z82" s="5" t="str">
        <f>IF(BA75=FALSE,"","＝")</f>
        <v>＝</v>
      </c>
      <c r="AA82" s="314">
        <f ca="1">IF(BA75=FALSE,"",IF(OR(N74="",$AF$17=0,N76="",$N$23=""),"",ROUND(+$J$82*$N$82,0)+ROUND($R$82*$W$82,0)))</f>
        <v>60210</v>
      </c>
      <c r="AB82" s="314"/>
      <c r="AC82" s="314"/>
      <c r="AD82" s="314"/>
      <c r="AE82" s="314"/>
      <c r="AF82" s="314"/>
      <c r="AG82" s="314"/>
      <c r="AH82" s="65" t="str">
        <f>IF(BA75=FALSE,"","下限額⑧")</f>
        <v>下限額⑧</v>
      </c>
      <c r="AJ82" s="21"/>
      <c r="AK82" s="65"/>
      <c r="AL82" s="65"/>
      <c r="AM82" s="1"/>
      <c r="AN82" s="1"/>
      <c r="AO82" s="1"/>
      <c r="AP82" s="1"/>
      <c r="AQ82" s="1"/>
      <c r="AR82" s="1"/>
      <c r="AY82" s="108"/>
      <c r="AZ82" s="108"/>
      <c r="BA82" s="108"/>
      <c r="BB82" s="108"/>
      <c r="BD82" s="37">
        <v>7</v>
      </c>
      <c r="BE82" s="37" t="s">
        <v>129</v>
      </c>
    </row>
    <row r="83" spans="1:57" ht="18.75">
      <c r="A83" s="10"/>
      <c r="J83" s="146"/>
      <c r="K83" s="146"/>
      <c r="L83" s="146"/>
      <c r="N83" s="148"/>
      <c r="O83" s="148"/>
      <c r="P83" s="148"/>
      <c r="R83" s="146"/>
      <c r="S83" s="146"/>
      <c r="T83" s="146"/>
      <c r="U83" s="146"/>
      <c r="W83" s="154"/>
      <c r="X83" s="154"/>
      <c r="Y83" s="154"/>
      <c r="AA83" s="164"/>
      <c r="AB83" s="164"/>
      <c r="AC83" s="164"/>
      <c r="AD83" s="164"/>
      <c r="AE83" s="164"/>
      <c r="AF83" s="164"/>
      <c r="AG83" s="164"/>
      <c r="AH83" s="65"/>
      <c r="AJ83" s="21"/>
      <c r="AK83" s="65"/>
      <c r="AL83" s="65"/>
      <c r="AM83" s="1"/>
      <c r="AN83" s="1"/>
      <c r="AO83" s="1"/>
      <c r="AP83" s="1"/>
      <c r="AQ83" s="1"/>
      <c r="AR83" s="1"/>
      <c r="AY83" s="108"/>
      <c r="AZ83" s="108"/>
      <c r="BA83" s="108"/>
      <c r="BB83" s="108"/>
      <c r="BD83" s="37">
        <v>8</v>
      </c>
      <c r="BE83" s="37" t="s">
        <v>130</v>
      </c>
    </row>
    <row r="84" spans="1:57" ht="18.75">
      <c r="A84" s="10"/>
      <c r="N84" s="6"/>
      <c r="O84" s="6"/>
      <c r="P84" s="6"/>
      <c r="R84" s="16"/>
      <c r="S84" s="16"/>
      <c r="AJ84" s="6"/>
      <c r="AK84" s="6"/>
      <c r="AL84" s="6"/>
      <c r="AM84" s="6"/>
      <c r="AN84" s="6"/>
      <c r="AO84" s="6"/>
      <c r="AP84" s="6"/>
      <c r="AQ84" s="6"/>
      <c r="AR84" s="6"/>
      <c r="AY84" s="108"/>
      <c r="AZ84" s="108"/>
      <c r="BA84" s="108"/>
      <c r="BB84" s="108"/>
      <c r="BD84" s="37">
        <v>9</v>
      </c>
      <c r="BE84" s="37" t="s">
        <v>132</v>
      </c>
    </row>
    <row r="85" spans="1:57">
      <c r="B85" s="250" t="s">
        <v>7</v>
      </c>
      <c r="C85" s="250"/>
      <c r="D85" s="250"/>
      <c r="E85" s="250"/>
      <c r="F85" s="44"/>
      <c r="G85" s="44"/>
      <c r="H85" s="254" t="s">
        <v>48</v>
      </c>
      <c r="I85" s="254"/>
      <c r="J85" s="254"/>
      <c r="K85" s="254"/>
      <c r="L85" s="238">
        <f ca="1">IF(ISERROR(+R$89+X$89+AD$89+AK$89),"",+R$89+X$89+AD$89+AK$89)</f>
        <v>433424</v>
      </c>
      <c r="M85" s="238"/>
      <c r="N85" s="238"/>
      <c r="O85" s="238"/>
      <c r="P85" s="238"/>
      <c r="Q85" s="146"/>
      <c r="R85" s="240" t="s">
        <v>1</v>
      </c>
      <c r="S85" s="240"/>
      <c r="T85" s="240"/>
      <c r="U85" s="240"/>
      <c r="V85" s="240"/>
      <c r="W85" s="5" t="s">
        <v>19</v>
      </c>
      <c r="X85" s="240" t="s">
        <v>28</v>
      </c>
      <c r="Y85" s="240"/>
      <c r="Z85" s="240"/>
      <c r="AA85" s="240"/>
      <c r="AB85" s="240"/>
      <c r="AC85" s="5" t="s">
        <v>19</v>
      </c>
      <c r="AD85" s="240" t="s">
        <v>29</v>
      </c>
      <c r="AE85" s="240"/>
      <c r="AF85" s="240"/>
      <c r="AG85" s="240"/>
      <c r="AH85" s="240"/>
      <c r="AI85" s="240"/>
      <c r="AJ85" s="5" t="s">
        <v>19</v>
      </c>
      <c r="AK85" s="240" t="s">
        <v>30</v>
      </c>
      <c r="AL85" s="240"/>
      <c r="AM85" s="240"/>
      <c r="AN85" s="240"/>
      <c r="AO85" s="240"/>
      <c r="AP85" s="240"/>
      <c r="AQ85" s="240"/>
      <c r="AR85" s="146"/>
      <c r="AS85" s="146"/>
      <c r="AV85" s="10"/>
      <c r="AW85" s="133"/>
      <c r="AX85" s="133"/>
      <c r="AY85" s="108"/>
      <c r="AZ85" s="108"/>
      <c r="BA85" s="108"/>
      <c r="BB85" s="108"/>
      <c r="BD85" s="37">
        <v>10</v>
      </c>
      <c r="BE85" s="37" t="s">
        <v>131</v>
      </c>
    </row>
    <row r="86" spans="1:57">
      <c r="B86" s="250"/>
      <c r="C86" s="250"/>
      <c r="D86" s="250"/>
      <c r="E86" s="250"/>
      <c r="F86" s="149"/>
      <c r="G86" s="149"/>
      <c r="H86" s="149"/>
      <c r="I86" s="149"/>
      <c r="J86" s="149"/>
      <c r="K86" s="149"/>
      <c r="AV86" s="10"/>
      <c r="AW86" s="133"/>
      <c r="AX86" s="133"/>
      <c r="AY86" s="108"/>
      <c r="AZ86" s="108"/>
      <c r="BA86" s="108"/>
      <c r="BB86" s="108"/>
    </row>
    <row r="87" spans="1:57" ht="13.5" customHeight="1">
      <c r="F87" s="254" t="s">
        <v>47</v>
      </c>
      <c r="G87" s="254"/>
      <c r="H87" s="254"/>
      <c r="I87" s="254"/>
      <c r="J87" s="254"/>
      <c r="K87" s="254"/>
      <c r="L87" s="255">
        <f ca="1">IF(ISERROR(ROUND(+L85*0.08,0)),"",ROUND(+L85*0.08,0))</f>
        <v>34674</v>
      </c>
      <c r="M87" s="255"/>
      <c r="N87" s="255"/>
      <c r="O87" s="255"/>
      <c r="P87" s="255"/>
      <c r="Q87" s="45"/>
      <c r="R87" s="240" t="s">
        <v>116</v>
      </c>
      <c r="S87" s="240"/>
      <c r="T87" s="240"/>
      <c r="U87" s="240"/>
      <c r="V87" s="240"/>
      <c r="X87" s="240" t="s">
        <v>138</v>
      </c>
      <c r="Y87" s="240"/>
      <c r="Z87" s="240"/>
      <c r="AA87" s="240"/>
      <c r="AB87" s="240"/>
      <c r="AC87" s="44"/>
      <c r="AD87" s="240" t="s">
        <v>118</v>
      </c>
      <c r="AE87" s="240"/>
      <c r="AF87" s="240"/>
      <c r="AG87" s="240"/>
      <c r="AH87" s="240"/>
      <c r="AI87" s="240"/>
      <c r="AJ87" s="44"/>
      <c r="AK87" s="240" t="s">
        <v>119</v>
      </c>
      <c r="AL87" s="240"/>
      <c r="AM87" s="240"/>
      <c r="AN87" s="240"/>
      <c r="AO87" s="240"/>
      <c r="AP87" s="240"/>
      <c r="AQ87" s="240"/>
      <c r="AR87" s="66"/>
      <c r="AS87" s="22"/>
      <c r="AV87" s="10"/>
      <c r="AW87" s="135"/>
      <c r="AX87" s="133"/>
      <c r="AY87" s="108"/>
      <c r="AZ87" s="108"/>
      <c r="BA87" s="108"/>
      <c r="BB87" s="108"/>
    </row>
    <row r="88" spans="1:57" ht="5.25" customHeight="1" thickBot="1">
      <c r="F88" s="254"/>
      <c r="G88" s="254"/>
      <c r="H88" s="254"/>
      <c r="I88" s="254"/>
      <c r="J88" s="254"/>
      <c r="K88" s="254"/>
      <c r="L88" s="67"/>
      <c r="M88" s="67"/>
      <c r="N88" s="67"/>
      <c r="O88" s="67"/>
      <c r="P88" s="67"/>
      <c r="AQ88" s="1"/>
      <c r="AV88" s="10"/>
      <c r="AW88" s="133"/>
      <c r="AX88" s="133"/>
      <c r="AY88" s="108"/>
      <c r="AZ88" s="108"/>
      <c r="BA88" s="108"/>
      <c r="BB88" s="108"/>
    </row>
    <row r="89" spans="1:57" ht="14.25" thickTop="1">
      <c r="F89" s="241" t="s">
        <v>49</v>
      </c>
      <c r="G89" s="241"/>
      <c r="H89" s="241"/>
      <c r="I89" s="241"/>
      <c r="J89" s="241"/>
      <c r="K89" s="241"/>
      <c r="L89" s="274">
        <f ca="1">IF(ISERROR(+L85+L87),"",+L85+L87)</f>
        <v>468098</v>
      </c>
      <c r="M89" s="274"/>
      <c r="N89" s="274"/>
      <c r="O89" s="274"/>
      <c r="P89" s="274"/>
      <c r="R89" s="284">
        <f ca="1">IF(AF30&gt;AB37,AB37,AF30)</f>
        <v>230160</v>
      </c>
      <c r="S89" s="284"/>
      <c r="T89" s="284"/>
      <c r="U89" s="284"/>
      <c r="V89" s="284"/>
      <c r="W89" s="153" t="s">
        <v>19</v>
      </c>
      <c r="X89" s="285">
        <f ca="1">IF(AQ17=0,0,IF(BA75=TRUE,AO46,AI45))</f>
        <v>3824</v>
      </c>
      <c r="Y89" s="285"/>
      <c r="Z89" s="285"/>
      <c r="AA89" s="285"/>
      <c r="AB89" s="285"/>
      <c r="AC89" s="153" t="s">
        <v>19</v>
      </c>
      <c r="AD89" s="285">
        <f ca="1">IF(BA62=FALSE,0,+P64)</f>
        <v>115080</v>
      </c>
      <c r="AE89" s="285"/>
      <c r="AF89" s="285"/>
      <c r="AG89" s="285"/>
      <c r="AH89" s="285"/>
      <c r="AI89" s="285"/>
      <c r="AJ89" s="153" t="s">
        <v>19</v>
      </c>
      <c r="AK89" s="285">
        <f ca="1">IF(BA75=FALSE,0,AA79)</f>
        <v>84360</v>
      </c>
      <c r="AL89" s="285"/>
      <c r="AM89" s="285"/>
      <c r="AN89" s="285"/>
      <c r="AO89" s="285"/>
      <c r="AP89" s="285"/>
      <c r="AQ89" s="7"/>
      <c r="AV89" s="10"/>
      <c r="AW89" s="133"/>
      <c r="AX89" s="133"/>
      <c r="AY89" s="108"/>
      <c r="AZ89" s="108"/>
      <c r="BA89" s="108"/>
      <c r="BB89" s="108"/>
    </row>
    <row r="90" spans="1:57" ht="21">
      <c r="F90" s="269"/>
      <c r="G90" s="269"/>
      <c r="H90" s="269"/>
      <c r="I90" s="269"/>
      <c r="J90" s="269"/>
      <c r="K90" s="269"/>
      <c r="L90" s="275"/>
      <c r="M90" s="275"/>
      <c r="N90" s="275"/>
      <c r="O90" s="275"/>
      <c r="P90" s="275"/>
      <c r="Q90" s="68"/>
      <c r="R90" s="4"/>
      <c r="S90" s="69"/>
      <c r="T90" s="69"/>
      <c r="U90" s="4"/>
      <c r="V90" s="4"/>
      <c r="W90" s="4"/>
      <c r="X90" s="4"/>
      <c r="Y90" s="4"/>
      <c r="Z90" s="4"/>
      <c r="AA90" s="4"/>
      <c r="AB90" s="4"/>
      <c r="AC90" s="4"/>
      <c r="AD90" s="4"/>
      <c r="AE90" s="4"/>
      <c r="AF90" s="4"/>
      <c r="AG90" s="4"/>
      <c r="AH90" s="4"/>
      <c r="AI90" s="4"/>
      <c r="AJ90" s="4"/>
      <c r="AK90" s="4"/>
      <c r="AL90" s="4"/>
      <c r="AM90" s="4"/>
      <c r="AN90" s="4"/>
      <c r="AO90" s="4"/>
      <c r="AP90" s="4"/>
      <c r="AQ90" s="4"/>
      <c r="AR90" s="70"/>
      <c r="AS90" s="71"/>
      <c r="AT90" s="71"/>
      <c r="AV90" s="10"/>
      <c r="AW90" s="133"/>
      <c r="AX90" s="133"/>
      <c r="AY90" s="108"/>
      <c r="AZ90" s="108"/>
      <c r="BA90" s="108"/>
      <c r="BB90" s="108"/>
    </row>
    <row r="91" spans="1:57">
      <c r="AV91" s="10"/>
      <c r="AW91" s="133"/>
      <c r="AX91" s="133"/>
      <c r="AY91" s="108"/>
      <c r="AZ91" s="108"/>
      <c r="BA91" s="108"/>
      <c r="BB91" s="108"/>
    </row>
    <row r="92" spans="1:57">
      <c r="F92" s="44"/>
      <c r="G92" s="44"/>
      <c r="H92" s="44"/>
      <c r="I92" s="44"/>
      <c r="J92" s="44"/>
      <c r="K92" s="44"/>
      <c r="L92" s="44"/>
      <c r="M92" s="44"/>
      <c r="N92" s="44"/>
      <c r="O92" s="44"/>
      <c r="P92" s="44"/>
      <c r="Q92" s="44"/>
      <c r="R92" s="240"/>
      <c r="S92" s="240"/>
      <c r="T92" s="240"/>
      <c r="U92" s="240"/>
      <c r="V92" s="240"/>
      <c r="X92" s="240"/>
      <c r="Y92" s="240"/>
      <c r="Z92" s="240"/>
      <c r="AA92" s="240"/>
      <c r="AB92" s="240"/>
      <c r="AD92" s="240"/>
      <c r="AE92" s="240"/>
      <c r="AF92" s="240"/>
      <c r="AG92" s="240"/>
      <c r="AH92" s="240"/>
      <c r="AI92" s="240"/>
      <c r="AK92" s="240"/>
      <c r="AL92" s="240"/>
      <c r="AM92" s="240"/>
      <c r="AN92" s="240"/>
      <c r="AO92" s="240"/>
      <c r="AP92" s="240"/>
      <c r="AQ92" s="240"/>
      <c r="AV92" s="25"/>
      <c r="AW92" s="133"/>
      <c r="AX92" s="133"/>
      <c r="AY92" s="108"/>
      <c r="AZ92" s="108"/>
      <c r="BA92" s="108"/>
      <c r="BB92" s="108"/>
    </row>
    <row r="93" spans="1:57">
      <c r="B93" s="250" t="s">
        <v>135</v>
      </c>
      <c r="C93" s="250"/>
      <c r="D93" s="250"/>
      <c r="E93" s="250"/>
      <c r="F93" s="44"/>
      <c r="G93" s="44"/>
      <c r="H93" s="254" t="s">
        <v>48</v>
      </c>
      <c r="I93" s="254"/>
      <c r="J93" s="254"/>
      <c r="K93" s="254"/>
      <c r="L93" s="238">
        <f ca="1">IF(ISERROR(+R$97+X$97+AD$97+AK$97),"",+R$97+X$97+AD$97+AK$97)</f>
        <v>216540</v>
      </c>
      <c r="M93" s="238"/>
      <c r="N93" s="238"/>
      <c r="O93" s="238"/>
      <c r="P93" s="238"/>
      <c r="Q93" s="44"/>
      <c r="R93" s="240" t="s">
        <v>1</v>
      </c>
      <c r="S93" s="240"/>
      <c r="T93" s="240"/>
      <c r="U93" s="240"/>
      <c r="V93" s="240"/>
      <c r="W93" s="5" t="s">
        <v>19</v>
      </c>
      <c r="X93" s="240" t="s">
        <v>28</v>
      </c>
      <c r="Y93" s="240"/>
      <c r="Z93" s="240"/>
      <c r="AA93" s="240"/>
      <c r="AB93" s="240"/>
      <c r="AC93" s="5" t="s">
        <v>19</v>
      </c>
      <c r="AD93" s="240" t="s">
        <v>29</v>
      </c>
      <c r="AE93" s="240"/>
      <c r="AF93" s="240"/>
      <c r="AG93" s="240"/>
      <c r="AH93" s="240"/>
      <c r="AI93" s="240"/>
      <c r="AJ93" s="5" t="s">
        <v>19</v>
      </c>
      <c r="AK93" s="240" t="s">
        <v>30</v>
      </c>
      <c r="AL93" s="240"/>
      <c r="AM93" s="240"/>
      <c r="AN93" s="240"/>
      <c r="AO93" s="240"/>
      <c r="AP93" s="240"/>
      <c r="AQ93" s="240"/>
      <c r="AR93" s="146"/>
      <c r="AS93" s="146"/>
      <c r="AT93" s="146"/>
      <c r="AU93" s="146"/>
      <c r="AV93" s="126"/>
      <c r="AW93" s="133"/>
      <c r="AX93" s="136"/>
      <c r="AY93" s="108"/>
      <c r="AZ93" s="108"/>
      <c r="BA93" s="108"/>
      <c r="BB93" s="108"/>
    </row>
    <row r="94" spans="1:57">
      <c r="B94" s="250"/>
      <c r="C94" s="250"/>
      <c r="D94" s="250"/>
      <c r="E94" s="250"/>
      <c r="F94" s="149"/>
      <c r="G94" s="149"/>
      <c r="H94" s="149"/>
      <c r="I94" s="149"/>
      <c r="J94" s="149"/>
      <c r="K94" s="149"/>
      <c r="Q94" s="149"/>
      <c r="R94" s="240"/>
      <c r="S94" s="240"/>
      <c r="T94" s="240"/>
      <c r="U94" s="240"/>
      <c r="V94" s="240"/>
      <c r="X94" s="240"/>
      <c r="Y94" s="240"/>
      <c r="Z94" s="240"/>
      <c r="AA94" s="240"/>
      <c r="AB94" s="240"/>
      <c r="AD94" s="240"/>
      <c r="AE94" s="240"/>
      <c r="AF94" s="240"/>
      <c r="AG94" s="240"/>
      <c r="AH94" s="240"/>
      <c r="AI94" s="240"/>
      <c r="AK94" s="240"/>
      <c r="AL94" s="240"/>
      <c r="AM94" s="240"/>
      <c r="AN94" s="240"/>
      <c r="AO94" s="240"/>
      <c r="AP94" s="240"/>
      <c r="AQ94" s="240"/>
      <c r="AV94" s="10"/>
      <c r="AW94" s="133"/>
      <c r="AX94" s="133"/>
      <c r="AY94" s="108"/>
      <c r="AZ94" s="108"/>
      <c r="BA94" s="108"/>
      <c r="BB94" s="108"/>
    </row>
    <row r="95" spans="1:57">
      <c r="F95" s="254" t="s">
        <v>47</v>
      </c>
      <c r="G95" s="254"/>
      <c r="H95" s="254"/>
      <c r="I95" s="254"/>
      <c r="J95" s="254"/>
      <c r="K95" s="254"/>
      <c r="L95" s="255">
        <f ca="1">IF(ISERROR(ROUND(+L93*0.08,0)),"",ROUND(+L93*0.08,0))</f>
        <v>17323</v>
      </c>
      <c r="M95" s="255"/>
      <c r="N95" s="255"/>
      <c r="O95" s="255"/>
      <c r="P95" s="255"/>
      <c r="Q95" s="149"/>
      <c r="R95" s="240" t="s">
        <v>120</v>
      </c>
      <c r="S95" s="240"/>
      <c r="T95" s="240"/>
      <c r="U95" s="240"/>
      <c r="V95" s="240"/>
      <c r="X95" s="240" t="s">
        <v>141</v>
      </c>
      <c r="Y95" s="240"/>
      <c r="Z95" s="240"/>
      <c r="AA95" s="240"/>
      <c r="AB95" s="240"/>
      <c r="AC95" s="44"/>
      <c r="AD95" s="240" t="s">
        <v>142</v>
      </c>
      <c r="AE95" s="240"/>
      <c r="AF95" s="240"/>
      <c r="AG95" s="240"/>
      <c r="AH95" s="240"/>
      <c r="AI95" s="240"/>
      <c r="AK95" s="240" t="s">
        <v>121</v>
      </c>
      <c r="AL95" s="240"/>
      <c r="AM95" s="240"/>
      <c r="AN95" s="240"/>
      <c r="AO95" s="240"/>
      <c r="AP95" s="240"/>
      <c r="AQ95" s="240"/>
      <c r="AR95" s="45"/>
      <c r="AS95" s="22"/>
      <c r="AT95" s="22"/>
      <c r="AU95" s="22"/>
      <c r="AV95" s="27"/>
      <c r="AW95" s="135"/>
      <c r="AX95" s="135"/>
      <c r="AY95" s="108"/>
      <c r="AZ95" s="108"/>
      <c r="BA95" s="108"/>
      <c r="BB95" s="108"/>
    </row>
    <row r="96" spans="1:57" ht="14.25" thickBot="1">
      <c r="F96" s="149"/>
      <c r="G96" s="149"/>
      <c r="H96" s="149"/>
      <c r="I96" s="149"/>
      <c r="J96" s="149"/>
      <c r="K96" s="149"/>
      <c r="L96" s="67"/>
      <c r="M96" s="67"/>
      <c r="N96" s="67"/>
      <c r="O96" s="67"/>
      <c r="P96" s="67"/>
      <c r="Q96" s="149"/>
      <c r="AQ96" s="1"/>
      <c r="AV96" s="10"/>
      <c r="AW96" s="133"/>
      <c r="AX96" s="133"/>
      <c r="AY96" s="108"/>
      <c r="AZ96" s="108"/>
      <c r="BA96" s="108"/>
      <c r="BB96" s="108"/>
    </row>
    <row r="97" spans="2:55" ht="14.25" thickTop="1">
      <c r="F97" s="241" t="s">
        <v>49</v>
      </c>
      <c r="G97" s="241"/>
      <c r="H97" s="241"/>
      <c r="I97" s="241"/>
      <c r="J97" s="241"/>
      <c r="K97" s="241"/>
      <c r="L97" s="274">
        <f ca="1">IF(ISERROR(+L93+L95),"",+L93+L95)</f>
        <v>233863</v>
      </c>
      <c r="M97" s="274"/>
      <c r="N97" s="274"/>
      <c r="O97" s="274"/>
      <c r="P97" s="274"/>
      <c r="Q97" s="145"/>
      <c r="R97" s="284">
        <f ca="1">AF32</f>
        <v>156330</v>
      </c>
      <c r="S97" s="284"/>
      <c r="T97" s="284"/>
      <c r="U97" s="284"/>
      <c r="V97" s="284"/>
      <c r="W97" s="153" t="s">
        <v>19</v>
      </c>
      <c r="X97" s="285">
        <f ca="1">IF(AQ17=0,0,IF(BA75=TRUE,AO56,AI55))</f>
        <v>0</v>
      </c>
      <c r="Y97" s="285"/>
      <c r="Z97" s="285"/>
      <c r="AA97" s="285"/>
      <c r="AB97" s="285"/>
      <c r="AC97" s="153" t="s">
        <v>19</v>
      </c>
      <c r="AD97" s="285">
        <f ca="1">IF(BA62=FALSE,0,+P68)</f>
        <v>0</v>
      </c>
      <c r="AE97" s="285"/>
      <c r="AF97" s="285"/>
      <c r="AG97" s="285"/>
      <c r="AH97" s="285"/>
      <c r="AI97" s="285"/>
      <c r="AJ97" s="153" t="s">
        <v>19</v>
      </c>
      <c r="AK97" s="285">
        <f ca="1">IF(BA75=FALSE,0,AA82)</f>
        <v>60210</v>
      </c>
      <c r="AL97" s="285"/>
      <c r="AM97" s="285"/>
      <c r="AN97" s="285"/>
      <c r="AO97" s="285"/>
      <c r="AP97" s="285"/>
      <c r="AQ97" s="7"/>
      <c r="AV97" s="10"/>
      <c r="AW97" s="133"/>
      <c r="AX97" s="133"/>
      <c r="AY97" s="108"/>
      <c r="AZ97" s="108"/>
      <c r="BA97" s="108"/>
      <c r="BB97" s="108"/>
    </row>
    <row r="98" spans="2:55">
      <c r="F98" s="269"/>
      <c r="G98" s="269"/>
      <c r="H98" s="269"/>
      <c r="I98" s="269"/>
      <c r="J98" s="269"/>
      <c r="K98" s="269"/>
      <c r="L98" s="275"/>
      <c r="M98" s="275"/>
      <c r="N98" s="275"/>
      <c r="O98" s="275"/>
      <c r="P98" s="275"/>
      <c r="Q98" s="157"/>
      <c r="R98" s="4"/>
      <c r="S98" s="4"/>
      <c r="T98" s="4"/>
      <c r="U98" s="4"/>
      <c r="V98" s="4"/>
      <c r="W98" s="4"/>
      <c r="X98" s="4"/>
      <c r="Y98" s="4"/>
      <c r="Z98" s="4"/>
      <c r="AA98" s="4"/>
      <c r="AB98" s="4"/>
      <c r="AC98" s="4"/>
      <c r="AD98" s="4"/>
      <c r="AE98" s="4"/>
      <c r="AF98" s="4"/>
      <c r="AG98" s="4"/>
      <c r="AH98" s="4"/>
      <c r="AI98" s="4"/>
      <c r="AJ98" s="4"/>
      <c r="AK98" s="4"/>
      <c r="AL98" s="4"/>
      <c r="AM98" s="4"/>
      <c r="AN98" s="4"/>
      <c r="AO98" s="70"/>
      <c r="AP98" s="70"/>
      <c r="AQ98" s="70"/>
      <c r="AR98" s="10"/>
      <c r="AV98" s="10"/>
      <c r="AW98" s="133"/>
      <c r="AX98" s="133"/>
      <c r="AY98" s="108"/>
      <c r="AZ98" s="108"/>
      <c r="BA98" s="108"/>
      <c r="BB98" s="108"/>
    </row>
    <row r="99" spans="2:55">
      <c r="AV99" s="10"/>
      <c r="AW99" s="133"/>
      <c r="AX99" s="133"/>
      <c r="AY99" s="108"/>
      <c r="AZ99" s="108"/>
      <c r="BA99" s="108"/>
      <c r="BB99" s="108"/>
    </row>
    <row r="100" spans="2:55" ht="42.75" customHeight="1">
      <c r="B100" s="72" t="str">
        <f ca="1">IF(L89="","","この運送の上限額は、")</f>
        <v>この運送の上限額は、</v>
      </c>
      <c r="C100" s="73"/>
      <c r="D100" s="73"/>
      <c r="E100" s="57"/>
      <c r="F100" s="57"/>
      <c r="G100" s="73"/>
      <c r="H100" s="73"/>
      <c r="I100" s="73"/>
      <c r="J100" s="57"/>
      <c r="K100" s="249">
        <f ca="1">IF(L89="","",L89)</f>
        <v>468098</v>
      </c>
      <c r="L100" s="249"/>
      <c r="M100" s="249"/>
      <c r="N100" s="249"/>
      <c r="O100" s="249"/>
      <c r="P100" s="249"/>
      <c r="Q100" s="137" t="str">
        <f ca="1">IF(L89="","","、下限額は")</f>
        <v>、下限額は</v>
      </c>
      <c r="R100" s="73"/>
      <c r="S100" s="73"/>
      <c r="T100" s="73"/>
      <c r="U100" s="73"/>
      <c r="V100" s="73"/>
      <c r="W100" s="249">
        <f ca="1">IF(L89="","",L97)</f>
        <v>233863</v>
      </c>
      <c r="X100" s="249"/>
      <c r="Y100" s="249"/>
      <c r="Z100" s="249"/>
      <c r="AA100" s="249"/>
      <c r="AB100" s="249"/>
      <c r="AC100" s="72" t="str">
        <f ca="1">IF(L89="","","です。")</f>
        <v>です。</v>
      </c>
      <c r="AD100" s="73"/>
      <c r="AE100" s="73"/>
      <c r="AF100" s="73"/>
      <c r="AG100" s="73"/>
      <c r="AH100" s="74"/>
      <c r="AI100" s="74"/>
      <c r="AJ100" s="74"/>
      <c r="AK100" s="74"/>
      <c r="AL100" s="74"/>
      <c r="AM100" s="74"/>
      <c r="AN100" s="74"/>
      <c r="AO100" s="74"/>
      <c r="AP100" s="74"/>
      <c r="AQ100" s="74"/>
      <c r="AR100" s="74"/>
      <c r="AS100" s="74"/>
      <c r="AT100" s="74"/>
      <c r="AU100" s="74"/>
      <c r="AV100" s="10"/>
      <c r="AW100" s="133"/>
      <c r="AX100" s="133"/>
      <c r="AY100" s="108"/>
      <c r="AZ100" s="108"/>
      <c r="BA100" s="108"/>
      <c r="BB100" s="108"/>
    </row>
    <row r="101" spans="2:55" ht="21">
      <c r="B101" s="273" t="str">
        <f ca="1">IF(L89="","","実際の運賃・料金がこの範囲に収まっていない場合は、運賃料金の届出に違反しているおそれがあります。")</f>
        <v>実際の運賃・料金がこの範囲に収まっていない場合は、運賃料金の届出に違反しているおそれがあります。</v>
      </c>
      <c r="C101" s="273"/>
      <c r="D101" s="273"/>
      <c r="E101" s="273"/>
      <c r="F101" s="273"/>
      <c r="G101" s="273"/>
      <c r="H101" s="273"/>
      <c r="I101" s="273"/>
      <c r="J101" s="273"/>
      <c r="K101" s="273"/>
      <c r="L101" s="273"/>
      <c r="M101" s="273"/>
      <c r="N101" s="273"/>
      <c r="O101" s="273"/>
      <c r="P101" s="273"/>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10"/>
      <c r="AW101" s="133"/>
      <c r="AX101" s="133"/>
      <c r="AY101" s="133"/>
      <c r="AZ101" s="133"/>
      <c r="BA101" s="133"/>
      <c r="BB101" s="133"/>
    </row>
    <row r="102" spans="2:55" ht="21.75" customHeight="1">
      <c r="AY102" s="133"/>
      <c r="AZ102" s="133"/>
      <c r="BA102" s="134"/>
      <c r="BB102" s="133"/>
    </row>
    <row r="103" spans="2:55" hidden="1">
      <c r="AY103" s="136"/>
      <c r="AZ103" s="136"/>
      <c r="BA103" s="136"/>
      <c r="BB103" s="133"/>
    </row>
    <row r="104" spans="2:55" hidden="1">
      <c r="AY104" s="133"/>
      <c r="AZ104" s="133"/>
      <c r="BA104" s="133"/>
      <c r="BB104" s="133"/>
    </row>
    <row r="105" spans="2:55" hidden="1">
      <c r="AY105" s="135"/>
      <c r="AZ105" s="135"/>
      <c r="BA105" s="135"/>
      <c r="BB105" s="135"/>
      <c r="BC105" s="172"/>
    </row>
    <row r="106" spans="2:55" hidden="1">
      <c r="AY106" s="133"/>
      <c r="AZ106" s="133"/>
      <c r="BA106" s="133"/>
      <c r="BB106" s="133"/>
    </row>
    <row r="107" spans="2:55" hidden="1">
      <c r="AY107" s="133"/>
      <c r="AZ107" s="133"/>
      <c r="BA107" s="133"/>
      <c r="BB107" s="133"/>
    </row>
    <row r="108" spans="2:55" hidden="1">
      <c r="AY108" s="133"/>
      <c r="AZ108" s="133"/>
      <c r="BA108" s="133"/>
      <c r="BB108" s="133"/>
    </row>
    <row r="109" spans="2:55" hidden="1">
      <c r="AY109" s="133"/>
      <c r="AZ109" s="133"/>
      <c r="BA109" s="133"/>
      <c r="BB109" s="133"/>
    </row>
    <row r="110" spans="2:55" ht="5.25" hidden="1" customHeight="1">
      <c r="AY110" s="133"/>
      <c r="AZ110" s="133"/>
      <c r="BA110" s="133"/>
      <c r="BB110" s="133"/>
    </row>
    <row r="111" spans="2:55" ht="6.75" hidden="1" customHeight="1">
      <c r="AY111" s="133"/>
      <c r="AZ111" s="133"/>
      <c r="BA111" s="133"/>
      <c r="BB111" s="133"/>
    </row>
    <row r="112" spans="2:55" ht="13.5" hidden="1" customHeight="1"/>
  </sheetData>
  <sheetProtection password="C981" sheet="1" objects="1" scenarios="1" selectLockedCells="1"/>
  <protectedRanges>
    <protectedRange password="CA41" sqref="N23 L11 O11 T11 W11 L13 O13 T13 W13 L15 O15 T15 W15" name="範囲1"/>
  </protectedRanges>
  <mergeCells count="267">
    <mergeCell ref="J73:L73"/>
    <mergeCell ref="N73:P73"/>
    <mergeCell ref="AC46:AG46"/>
    <mergeCell ref="AC48:AG48"/>
    <mergeCell ref="AC49:AG49"/>
    <mergeCell ref="U52:X52"/>
    <mergeCell ref="Z52:AA52"/>
    <mergeCell ref="AC52:AG52"/>
    <mergeCell ref="AI52:AM52"/>
    <mergeCell ref="U53:X53"/>
    <mergeCell ref="Z53:AA53"/>
    <mergeCell ref="AC53:AG53"/>
    <mergeCell ref="AI53:AM53"/>
    <mergeCell ref="Q61:R61"/>
    <mergeCell ref="BN20:BP20"/>
    <mergeCell ref="AQ17:AT17"/>
    <mergeCell ref="AF17:AI17"/>
    <mergeCell ref="BR15:BS15"/>
    <mergeCell ref="AI11:AL11"/>
    <mergeCell ref="W14:AN14"/>
    <mergeCell ref="Y29:AB29"/>
    <mergeCell ref="AF32:AK32"/>
    <mergeCell ref="N23:P23"/>
    <mergeCell ref="R23:S23"/>
    <mergeCell ref="T23:V23"/>
    <mergeCell ref="AD18:AS18"/>
    <mergeCell ref="N20:P20"/>
    <mergeCell ref="R20:S20"/>
    <mergeCell ref="N21:P21"/>
    <mergeCell ref="R21:T21"/>
    <mergeCell ref="AF30:AK30"/>
    <mergeCell ref="AK17:AP17"/>
    <mergeCell ref="BP10:BW10"/>
    <mergeCell ref="BU13:BW13"/>
    <mergeCell ref="BU15:BW15"/>
    <mergeCell ref="O15:P15"/>
    <mergeCell ref="R15:S15"/>
    <mergeCell ref="AQ13:AR13"/>
    <mergeCell ref="AQ15:AR15"/>
    <mergeCell ref="AB15:AD15"/>
    <mergeCell ref="AF15:AH15"/>
    <mergeCell ref="AN13:AP13"/>
    <mergeCell ref="AN15:AP15"/>
    <mergeCell ref="O13:P13"/>
    <mergeCell ref="R13:S13"/>
    <mergeCell ref="T15:U15"/>
    <mergeCell ref="CJ10:CL10"/>
    <mergeCell ref="BY10:CA10"/>
    <mergeCell ref="BY6:CA6"/>
    <mergeCell ref="CN11:CP11"/>
    <mergeCell ref="CN13:CP13"/>
    <mergeCell ref="CN15:CP15"/>
    <mergeCell ref="CK6:CM6"/>
    <mergeCell ref="CC9:CE9"/>
    <mergeCell ref="CN6:CP6"/>
    <mergeCell ref="CF10:CH10"/>
    <mergeCell ref="BY11:CA11"/>
    <mergeCell ref="BY15:CA15"/>
    <mergeCell ref="CC17:CD17"/>
    <mergeCell ref="CF17:CH17"/>
    <mergeCell ref="CC11:CD11"/>
    <mergeCell ref="CF11:CH11"/>
    <mergeCell ref="CJ11:CL11"/>
    <mergeCell ref="CC13:CD13"/>
    <mergeCell ref="CF13:CH13"/>
    <mergeCell ref="CJ13:CL13"/>
    <mergeCell ref="CJ15:CL15"/>
    <mergeCell ref="CC15:CD15"/>
    <mergeCell ref="CF15:CH15"/>
    <mergeCell ref="K29:M29"/>
    <mergeCell ref="U29:W29"/>
    <mergeCell ref="G76:I76"/>
    <mergeCell ref="J76:L76"/>
    <mergeCell ref="N76:P76"/>
    <mergeCell ref="BY17:CA17"/>
    <mergeCell ref="AQ11:AR11"/>
    <mergeCell ref="BP15:BQ15"/>
    <mergeCell ref="BP13:BQ13"/>
    <mergeCell ref="AF13:AH13"/>
    <mergeCell ref="BU11:BW11"/>
    <mergeCell ref="BR13:BS13"/>
    <mergeCell ref="BY13:CA13"/>
    <mergeCell ref="W13:X13"/>
    <mergeCell ref="Z13:AA13"/>
    <mergeCell ref="AB13:AD13"/>
    <mergeCell ref="BP11:BQ11"/>
    <mergeCell ref="BR11:BS11"/>
    <mergeCell ref="W11:X11"/>
    <mergeCell ref="Z11:AA11"/>
    <mergeCell ref="AB11:AD11"/>
    <mergeCell ref="W16:AN16"/>
    <mergeCell ref="W15:X15"/>
    <mergeCell ref="AI45:AM45"/>
    <mergeCell ref="O37:V37"/>
    <mergeCell ref="X37:Z37"/>
    <mergeCell ref="AB37:AH37"/>
    <mergeCell ref="U45:X45"/>
    <mergeCell ref="Z45:AA45"/>
    <mergeCell ref="AC45:AG45"/>
    <mergeCell ref="J42:K42"/>
    <mergeCell ref="AA82:AG82"/>
    <mergeCell ref="J78:L78"/>
    <mergeCell ref="N78:P78"/>
    <mergeCell ref="R78:U78"/>
    <mergeCell ref="W78:Y78"/>
    <mergeCell ref="J79:L79"/>
    <mergeCell ref="N79:P79"/>
    <mergeCell ref="R79:U79"/>
    <mergeCell ref="W79:Y79"/>
    <mergeCell ref="AA79:AG79"/>
    <mergeCell ref="J81:L81"/>
    <mergeCell ref="N81:P81"/>
    <mergeCell ref="R81:U81"/>
    <mergeCell ref="W81:Y81"/>
    <mergeCell ref="J82:L82"/>
    <mergeCell ref="N82:P82"/>
    <mergeCell ref="R82:U82"/>
    <mergeCell ref="K30:M30"/>
    <mergeCell ref="O30:Q30"/>
    <mergeCell ref="U30:W30"/>
    <mergeCell ref="Y30:AB30"/>
    <mergeCell ref="K32:M32"/>
    <mergeCell ref="I34:K35"/>
    <mergeCell ref="L34:O34"/>
    <mergeCell ref="Q34:T34"/>
    <mergeCell ref="L35:O35"/>
    <mergeCell ref="Q35:T35"/>
    <mergeCell ref="V35:Z35"/>
    <mergeCell ref="O32:Q32"/>
    <mergeCell ref="U32:W32"/>
    <mergeCell ref="Y32:AB32"/>
    <mergeCell ref="A12:C12"/>
    <mergeCell ref="G13:I13"/>
    <mergeCell ref="J13:K13"/>
    <mergeCell ref="L13:M13"/>
    <mergeCell ref="U17:AE17"/>
    <mergeCell ref="W12:AN12"/>
    <mergeCell ref="AI13:AL13"/>
    <mergeCell ref="A14:C14"/>
    <mergeCell ref="A15:C15"/>
    <mergeCell ref="J15:K15"/>
    <mergeCell ref="L15:M15"/>
    <mergeCell ref="T13:U13"/>
    <mergeCell ref="G15:I15"/>
    <mergeCell ref="Z15:AA15"/>
    <mergeCell ref="AI15:AL15"/>
    <mergeCell ref="F10:J10"/>
    <mergeCell ref="AA10:AE10"/>
    <mergeCell ref="G11:I11"/>
    <mergeCell ref="J11:K11"/>
    <mergeCell ref="U10:W10"/>
    <mergeCell ref="M10:O10"/>
    <mergeCell ref="P10:T10"/>
    <mergeCell ref="AF10:AJ10"/>
    <mergeCell ref="BH2:BM2"/>
    <mergeCell ref="D1:AA2"/>
    <mergeCell ref="B8:D9"/>
    <mergeCell ref="O8:Q8"/>
    <mergeCell ref="S8:U8"/>
    <mergeCell ref="J9:L9"/>
    <mergeCell ref="N9:Q9"/>
    <mergeCell ref="S9:V9"/>
    <mergeCell ref="A11:C11"/>
    <mergeCell ref="AF11:AH11"/>
    <mergeCell ref="L11:M11"/>
    <mergeCell ref="O11:P11"/>
    <mergeCell ref="R11:S11"/>
    <mergeCell ref="AN11:AP11"/>
    <mergeCell ref="T11:U11"/>
    <mergeCell ref="AO46:AS46"/>
    <mergeCell ref="AO49:AS49"/>
    <mergeCell ref="B85:E86"/>
    <mergeCell ref="H85:K85"/>
    <mergeCell ref="L85:P85"/>
    <mergeCell ref="R85:V85"/>
    <mergeCell ref="X85:AB85"/>
    <mergeCell ref="AD85:AI85"/>
    <mergeCell ref="AK85:AQ85"/>
    <mergeCell ref="D71:T72"/>
    <mergeCell ref="AE61:AG61"/>
    <mergeCell ref="G74:I74"/>
    <mergeCell ref="U46:X46"/>
    <mergeCell ref="U48:X48"/>
    <mergeCell ref="U49:X49"/>
    <mergeCell ref="Z46:AA46"/>
    <mergeCell ref="Z48:AA48"/>
    <mergeCell ref="Z49:AA49"/>
    <mergeCell ref="W82:Y82"/>
    <mergeCell ref="AI49:AM49"/>
    <mergeCell ref="AI48:AM48"/>
    <mergeCell ref="AI46:AM46"/>
    <mergeCell ref="J74:L74"/>
    <mergeCell ref="N74:P74"/>
    <mergeCell ref="L87:P87"/>
    <mergeCell ref="R87:V87"/>
    <mergeCell ref="X87:AB87"/>
    <mergeCell ref="AD87:AI87"/>
    <mergeCell ref="AK87:AQ87"/>
    <mergeCell ref="F89:K90"/>
    <mergeCell ref="L89:P90"/>
    <mergeCell ref="R89:V89"/>
    <mergeCell ref="X89:AB89"/>
    <mergeCell ref="AD89:AI89"/>
    <mergeCell ref="AK89:AP89"/>
    <mergeCell ref="F88:K88"/>
    <mergeCell ref="F87:K87"/>
    <mergeCell ref="R92:V92"/>
    <mergeCell ref="X92:AB92"/>
    <mergeCell ref="AD92:AI92"/>
    <mergeCell ref="AK92:AQ92"/>
    <mergeCell ref="B93:E94"/>
    <mergeCell ref="H93:K93"/>
    <mergeCell ref="L93:P93"/>
    <mergeCell ref="R93:V93"/>
    <mergeCell ref="X93:AB93"/>
    <mergeCell ref="AD93:AI93"/>
    <mergeCell ref="AK93:AQ93"/>
    <mergeCell ref="R94:V94"/>
    <mergeCell ref="X94:AB94"/>
    <mergeCell ref="AD94:AI94"/>
    <mergeCell ref="AK94:AQ94"/>
    <mergeCell ref="K100:P100"/>
    <mergeCell ref="W100:AB100"/>
    <mergeCell ref="B101:AU101"/>
    <mergeCell ref="F95:K95"/>
    <mergeCell ref="L95:P95"/>
    <mergeCell ref="R95:V95"/>
    <mergeCell ref="X95:AB95"/>
    <mergeCell ref="AD95:AI95"/>
    <mergeCell ref="AK95:AQ95"/>
    <mergeCell ref="F97:K98"/>
    <mergeCell ref="L97:P98"/>
    <mergeCell ref="R97:V97"/>
    <mergeCell ref="X97:AB97"/>
    <mergeCell ref="AD97:AI97"/>
    <mergeCell ref="AK97:AP97"/>
    <mergeCell ref="AO53:AS53"/>
    <mergeCell ref="U55:X55"/>
    <mergeCell ref="Z55:AA55"/>
    <mergeCell ref="AC55:AG55"/>
    <mergeCell ref="AI55:AM55"/>
    <mergeCell ref="U56:X56"/>
    <mergeCell ref="Z56:AA56"/>
    <mergeCell ref="AC56:AG56"/>
    <mergeCell ref="AI56:AM56"/>
    <mergeCell ref="AO56:AS56"/>
    <mergeCell ref="G63:J63"/>
    <mergeCell ref="L63:M63"/>
    <mergeCell ref="Y42:AA42"/>
    <mergeCell ref="AC42:AH42"/>
    <mergeCell ref="F64:J64"/>
    <mergeCell ref="F65:J65"/>
    <mergeCell ref="F67:J67"/>
    <mergeCell ref="F68:J68"/>
    <mergeCell ref="L64:M64"/>
    <mergeCell ref="L65:M65"/>
    <mergeCell ref="L67:M67"/>
    <mergeCell ref="L68:M68"/>
    <mergeCell ref="P64:V64"/>
    <mergeCell ref="P65:V65"/>
    <mergeCell ref="P67:V67"/>
    <mergeCell ref="P68:V68"/>
    <mergeCell ref="F42:G42"/>
    <mergeCell ref="U42:X42"/>
    <mergeCell ref="G61:H61"/>
    <mergeCell ref="M61:N61"/>
    <mergeCell ref="Y61:AC61"/>
  </mergeCells>
  <phoneticPr fontId="2"/>
  <conditionalFormatting sqref="T23:V23">
    <cfRule type="cellIs" dxfId="17" priority="53" operator="notEqual">
      <formula>""</formula>
    </cfRule>
  </conditionalFormatting>
  <conditionalFormatting sqref="Y30:AB30 Y32:AB32">
    <cfRule type="cellIs" dxfId="16" priority="50" operator="notEqual">
      <formula>$N$23</formula>
    </cfRule>
  </conditionalFormatting>
  <conditionalFormatting sqref="F42:G44 J42:K43">
    <cfRule type="expression" dxfId="15" priority="49">
      <formula>$AQ$17=0</formula>
    </cfRule>
  </conditionalFormatting>
  <conditionalFormatting sqref="U45 Z45 AJ56:AN56 U48 Z48 AC45:AC48 U52 Z52 U55 Z55 AC52:AC55">
    <cfRule type="expression" dxfId="14" priority="48">
      <formula>$AQ$17=0</formula>
    </cfRule>
  </conditionalFormatting>
  <conditionalFormatting sqref="AF11:AH11 AF13:AH13 AF15:AH15">
    <cfRule type="cellIs" dxfId="13" priority="34" operator="equal">
      <formula>"20時間を"</formula>
    </cfRule>
  </conditionalFormatting>
  <conditionalFormatting sqref="AI11:AL11 AI13:AL13 AI15:AL15">
    <cfRule type="cellIs" dxfId="12" priority="33" operator="equal">
      <formula>"超えています"</formula>
    </cfRule>
  </conditionalFormatting>
  <conditionalFormatting sqref="M61:N61 Q61:R61">
    <cfRule type="expression" dxfId="11" priority="322">
      <formula>$BA$62=FALSE</formula>
    </cfRule>
    <cfRule type="expression" dxfId="10" priority="323">
      <formula>$BA$62=FALSE</formula>
    </cfRule>
  </conditionalFormatting>
  <conditionalFormatting sqref="F67:J68 L67:N68 P67:V68 L64:N65 P64:V65 F64:J65 AA65:AB65 AE64:AG69 AI64:AO69 AC64:AC69 Z66:AB69 Y66 Y69">
    <cfRule type="expression" dxfId="9" priority="324">
      <formula>$BA$62=FALSE</formula>
    </cfRule>
  </conditionalFormatting>
  <conditionalFormatting sqref="AA82:AG83 N82:P83 R82:U83 N24 AJ56:AN56 N79:P79 R79:U79 AC46:AC47 AA79:AG79 AC53:AC54">
    <cfRule type="expression" dxfId="8" priority="368">
      <formula>$BA$75=FALSE</formula>
    </cfRule>
  </conditionalFormatting>
  <conditionalFormatting sqref="W82:Y82 W79:Y79">
    <cfRule type="expression" dxfId="7" priority="377">
      <formula>$BA$75=FALSE</formula>
    </cfRule>
    <cfRule type="cellIs" dxfId="6" priority="378" operator="notEqual">
      <formula>$N$23</formula>
    </cfRule>
    <cfRule type="expression" dxfId="5" priority="379">
      <formula>$BA$75=FALSE</formula>
    </cfRule>
  </conditionalFormatting>
  <conditionalFormatting sqref="AB56:AE56 U46:U47 U53:U54">
    <cfRule type="expression" dxfId="4" priority="383">
      <formula>OR($AQ$17=0,AND($AQ$17&gt;0,$BA$75=FALSE))</formula>
    </cfRule>
    <cfRule type="expression" dxfId="3" priority="384">
      <formula>$AQ$17=0</formula>
    </cfRule>
  </conditionalFormatting>
  <conditionalFormatting sqref="AG56:AH56 Z46:Z47 Z53:Z54">
    <cfRule type="expression" dxfId="2" priority="387">
      <formula>OR($AQ$17=0,AND($AQ$17&gt;0,$BA$75=FALSE))</formula>
    </cfRule>
  </conditionalFormatting>
  <conditionalFormatting sqref="J82:L83 J79:L79">
    <cfRule type="expression" dxfId="1" priority="389">
      <formula>$BA$75=FALSE</formula>
    </cfRule>
  </conditionalFormatting>
  <conditionalFormatting sqref="AI48 AI45 AI52 AI55">
    <cfRule type="expression" dxfId="0" priority="444">
      <formula>OR($AQ$17=0,AND($AQ$17&gt;0,$G$74=TRUE))</formula>
    </cfRule>
  </conditionalFormatting>
  <dataValidations count="48">
    <dataValidation type="whole" allowBlank="1" showInputMessage="1" showErrorMessage="1" errorTitle="範囲外で設定されています！" error="上限額と下限額の範囲内で設定してください！" sqref="R84">
      <formula1>Q76</formula1>
      <formula2>M76</formula2>
    </dataValidation>
    <dataValidation type="whole" allowBlank="1" showInputMessage="1" showErrorMessage="1" errorTitle="範囲外で設定されています！" error="上限額と下限額の範囲内で設定してください！" sqref="S84">
      <formula1>Q76</formula1>
      <formula2>M76</formula2>
    </dataValidation>
    <dataValidation type="whole" allowBlank="1" showInputMessage="1" showErrorMessage="1" errorTitle="範囲外で設定されています！" error="上限額と下限額の範囲内で設定してください！" sqref="AK9">
      <formula1>V9</formula1>
      <formula2>R9</formula2>
    </dataValidation>
    <dataValidation type="whole" allowBlank="1" showInputMessage="1" showErrorMessage="1" errorTitle="範囲外で設定されています！" error="上限額と下限額の範囲内で設定してください！" sqref="AL9">
      <formula1>V9</formula1>
      <formula2>R9</formula2>
    </dataValidation>
    <dataValidation type="whole" allowBlank="1" showInputMessage="1" showErrorMessage="1" errorTitle="範囲外で設定されています！" error="上限額と下限額の範囲内で設定してください！" sqref="AA9">
      <formula1>CC9</formula1>
      <formula2>CA9</formula2>
    </dataValidation>
    <dataValidation type="whole" allowBlank="1" showInputMessage="1" showErrorMessage="1" errorTitle="範囲外で設定されています！" error="上限額と下限額の範囲内で設定してください！" sqref="W9:Z9">
      <formula1>BZ9</formula1>
      <formula2>BX9</formula2>
    </dataValidation>
    <dataValidation type="whole" allowBlank="1" showInputMessage="1" showErrorMessage="1" errorTitle="範囲外で設定されています！" error="上限額と下限額の範囲内で設定してください！" sqref="AC9">
      <formula1>CC9</formula1>
      <formula2>CA9</formula2>
    </dataValidation>
    <dataValidation type="whole" allowBlank="1" showInputMessage="1" showErrorMessage="1" errorTitle="範囲外で設定されています！" error="上限額と下限額の範囲内で設定してください！" sqref="AD9">
      <formula1>CC9</formula1>
      <formula2>CA9</formula2>
    </dataValidation>
    <dataValidation type="whole" allowBlank="1" showInputMessage="1" showErrorMessage="1" errorTitle="範囲外で設定されています！" error="上限額と下限額の範囲内で設定してください！" sqref="AE9">
      <formula1>CC9</formula1>
      <formula2>CA9</formula2>
    </dataValidation>
    <dataValidation type="whole" allowBlank="1" showInputMessage="1" showErrorMessage="1" errorTitle="範囲外で設定されています！" error="上限額と下限額の範囲内で設定してください！" sqref="AF9">
      <formula1>CC9</formula1>
      <formula2>CA9</formula2>
    </dataValidation>
    <dataValidation type="whole" allowBlank="1" showInputMessage="1" showErrorMessage="1" errorTitle="範囲外で設定されています！" error="上限額と下限額の範囲内で設定してください！" sqref="AG9">
      <formula1>CC9</formula1>
      <formula2>CA9</formula2>
    </dataValidation>
    <dataValidation type="whole" allowBlank="1" showInputMessage="1" showErrorMessage="1" errorTitle="範囲外で設定されています！" error="上限額と下限額の範囲内で設定してください！" sqref="AH9">
      <formula1>CC9</formula1>
      <formula2>CA9</formula2>
    </dataValidation>
    <dataValidation type="whole" allowBlank="1" showInputMessage="1" showErrorMessage="1" errorTitle="警告" error="上限額と下限額の範囲内で設定してください！" sqref="BK17">
      <formula1>CL11</formula1>
      <formula2>CJ11</formula2>
    </dataValidation>
    <dataValidation type="whole" allowBlank="1" showInputMessage="1" showErrorMessage="1" errorTitle="警告" error="上限額と下限額の範囲内で設定してください！" sqref="AZ20">
      <formula1>CL12</formula1>
      <formula2>P10</formula2>
    </dataValidation>
    <dataValidation type="whole" allowBlank="1" showInputMessage="1" showErrorMessage="1" errorTitle="警告" error="上限額と下限額の範囲内で設定してください！" sqref="BK18:BK19">
      <formula1>CL11</formula1>
      <formula2>#REF!</formula2>
    </dataValidation>
    <dataValidation type="whole" allowBlank="1" showInputMessage="1" showErrorMessage="1" errorTitle="範囲外で設定されています！" error="上限額と下限額の範囲内で設定してください！" sqref="AV22">
      <formula1>T21</formula1>
      <formula2>BM22</formula2>
    </dataValidation>
    <dataValidation type="whole" allowBlank="1" showInputMessage="1" showErrorMessage="1" errorTitle="範囲外で設定されています！" error="上限額と下限額の範囲内で設定してください！" sqref="AW22">
      <formula1>T21</formula1>
      <formula2>BM22</formula2>
    </dataValidation>
    <dataValidation type="whole" allowBlank="1" showInputMessage="1" showErrorMessage="1" errorTitle="範囲外で設定されています！" error="上限額と下限額の範囲内で設定してください！" sqref="N77">
      <formula1>Q74</formula1>
      <formula2>M74</formula2>
    </dataValidation>
    <dataValidation type="whole" allowBlank="1" showInputMessage="1" showErrorMessage="1" errorTitle="範囲外で設定されています！" error="上限額と下限額の範囲内で設定してください！" sqref="N80">
      <formula1>Q76</formula1>
      <formula2>M76</formula2>
    </dataValidation>
    <dataValidation type="whole" allowBlank="1" showInputMessage="1" showErrorMessage="1" errorTitle="範囲外で設定されています！" error="上限額と下限額の範囲内で設定してください！" sqref="P77">
      <formula1>Q74</formula1>
      <formula2>M74</formula2>
    </dataValidation>
    <dataValidation type="whole" allowBlank="1" showInputMessage="1" showErrorMessage="1" errorTitle="範囲外で設定されています！" error="上限額と下限額の範囲内で設定してください！" sqref="P80">
      <formula1>Q76</formula1>
      <formula2>M76</formula2>
    </dataValidation>
    <dataValidation type="whole" allowBlank="1" showInputMessage="1" showErrorMessage="1" errorTitle="範囲外で設定されています！" error="上限額と下限額の範囲内で設定してください！" sqref="R77">
      <formula1>Q74</formula1>
      <formula2>M74</formula2>
    </dataValidation>
    <dataValidation type="whole" allowBlank="1" showInputMessage="1" showErrorMessage="1" errorTitle="範囲外で設定されています！" error="上限額と下限額の範囲内で設定してください！" sqref="R80">
      <formula1>Q76</formula1>
      <formula2>M76</formula2>
    </dataValidation>
    <dataValidation type="whole" allowBlank="1" showInputMessage="1" showErrorMessage="1" errorTitle="範囲外で設定されています！" error="上限額と下限額の範囲内で設定してください！" sqref="S77">
      <formula1>Q74</formula1>
      <formula2>M74</formula2>
    </dataValidation>
    <dataValidation type="whole" allowBlank="1" showInputMessage="1" showErrorMessage="1" errorTitle="範囲外で設定されています！" error="上限額と下限額の範囲内で設定してください！" sqref="S80">
      <formula1>Q76</formula1>
      <formula2>M76</formula2>
    </dataValidation>
    <dataValidation type="whole" allowBlank="1" showInputMessage="1" showErrorMessage="1" errorTitle="範囲外で設定されています！" error="上限額と下限額の範囲内で設定してください！" sqref="O77">
      <formula1>CN102</formula1>
      <formula2>CL102</formula2>
    </dataValidation>
    <dataValidation type="whole" allowBlank="1" showInputMessage="1" showErrorMessage="1" errorTitle="範囲外で設定されています！" error="上限額と下限額の範囲内で設定してください！" sqref="O80">
      <formula1>CN104</formula1>
      <formula2>CL104</formula2>
    </dataValidation>
    <dataValidation type="whole" allowBlank="1" showInputMessage="1" showErrorMessage="1" errorTitle="範囲外で設定されています！" error="上限額と下限額の範囲内で設定してください！" sqref="AM77:AM78">
      <formula1>CN102</formula1>
      <formula2>CL102</formula2>
    </dataValidation>
    <dataValidation type="whole" allowBlank="1" showInputMessage="1" showErrorMessage="1" errorTitle="範囲外で設定されています！" error="上限額と下限額の範囲内で設定してください！" sqref="AM79:AM80">
      <formula1>CN103</formula1>
      <formula2>CL103</formula2>
    </dataValidation>
    <dataValidation type="whole" allowBlank="1" showInputMessage="1" showErrorMessage="1" errorTitle="範囲外で設定されています！" error="上限額と下限額の範囲内で設定してください！" sqref="AL77:AL78">
      <formula1>CN102</formula1>
      <formula2>CL102</formula2>
    </dataValidation>
    <dataValidation type="whole" allowBlank="1" showInputMessage="1" showErrorMessage="1" errorTitle="範囲外で設定されています！" error="上限額と下限額の範囲内で設定してください！" sqref="AL79:AL80">
      <formula1>CN103</formula1>
      <formula2>CL103</formula2>
    </dataValidation>
    <dataValidation type="whole" allowBlank="1" showInputMessage="1" showErrorMessage="1" errorTitle="範囲外で設定されています！" error="上限額と下限額の範囲内で設定してください！" sqref="AJ77:AK78">
      <formula1>CM102</formula1>
      <formula2>CK102</formula2>
    </dataValidation>
    <dataValidation type="whole" allowBlank="1" showInputMessage="1" showErrorMessage="1" errorTitle="範囲外で設定されています！" error="上限額と下限額の範囲内で設定してください！" sqref="AK79:AK80">
      <formula1>CN103</formula1>
      <formula2>CL103</formula2>
    </dataValidation>
    <dataValidation type="whole" allowBlank="1" showInputMessage="1" showErrorMessage="1" errorTitle="範囲外で設定されています！" error="上限額と下限額の範囲内で設定してください！" sqref="AN77:AN78">
      <formula1>CN102</formula1>
      <formula2>CL102</formula2>
    </dataValidation>
    <dataValidation type="whole" allowBlank="1" showInputMessage="1" showErrorMessage="1" errorTitle="範囲外で設定されています！" error="上限額と下限額の範囲内で設定してください！" sqref="AN79:AN80">
      <formula1>CN103</formula1>
      <formula2>CL103</formula2>
    </dataValidation>
    <dataValidation type="whole" allowBlank="1" showInputMessage="1" showErrorMessage="1" errorTitle="範囲外で設定されています！" error="上限額と下限額の範囲内で設定してください！" sqref="AO77:AO78">
      <formula1>CN102</formula1>
      <formula2>CL102</formula2>
    </dataValidation>
    <dataValidation type="whole" allowBlank="1" showInputMessage="1" showErrorMessage="1" errorTitle="範囲外で設定されています！" error="上限額と下限額の範囲内で設定してください！" sqref="AO79:AO80">
      <formula1>CN103</formula1>
      <formula2>CL103</formula2>
    </dataValidation>
    <dataValidation type="whole" allowBlank="1" showInputMessage="1" showErrorMessage="1" errorTitle="範囲外で設定されています！" error="上限額と下限額の範囲内で設定してください！" sqref="AP77:AP78">
      <formula1>CN102</formula1>
      <formula2>CL102</formula2>
    </dataValidation>
    <dataValidation type="whole" allowBlank="1" showInputMessage="1" showErrorMessage="1" errorTitle="範囲外で設定されています！" error="上限額と下限額の範囲内で設定してください！" sqref="AP79:AP80">
      <formula1>CN103</formula1>
      <formula2>CL103</formula2>
    </dataValidation>
    <dataValidation type="whole" allowBlank="1" showInputMessage="1" showErrorMessage="1" errorTitle="範囲外で設定されています！" error="上限額と下限額の範囲内で設定してください！" sqref="AQ77:AQ78">
      <formula1>CN102</formula1>
      <formula2>CL102</formula2>
    </dataValidation>
    <dataValidation type="whole" allowBlank="1" showInputMessage="1" showErrorMessage="1" errorTitle="範囲外で設定されています！" error="上限額と下限額の範囲内で設定してください！" sqref="AQ79:AQ80">
      <formula1>CN103</formula1>
      <formula2>CL103</formula2>
    </dataValidation>
    <dataValidation type="whole" allowBlank="1" showInputMessage="1" showErrorMessage="1" errorTitle="範囲外で設定されています！" error="上限額と下限額の範囲内で設定してください！" sqref="AR77:AR78">
      <formula1>CN102</formula1>
      <formula2>CL102</formula2>
    </dataValidation>
    <dataValidation type="whole" allowBlank="1" showInputMessage="1" showErrorMessage="1" errorTitle="範囲外で設定されています！" error="上限額と下限額の範囲内で設定してください！" sqref="AR79:AR80">
      <formula1>CN103</formula1>
      <formula2>CL103</formula2>
    </dataValidation>
    <dataValidation type="whole" operator="lessThanOrEqual" allowBlank="1" showInputMessage="1" showErrorMessage="1" errorTitle="５０％以内です！" error="割増率は５０％以内です！" sqref="M61 Q61">
      <formula1>50</formula1>
    </dataValidation>
    <dataValidation allowBlank="1" showDropDown="1" showInputMessage="1" showErrorMessage="1" sqref="G6:H6"/>
    <dataValidation type="whole" operator="greaterThanOrEqual" allowBlank="1" showInputMessage="1" showErrorMessage="1" errorTitle="最低３時間です" error="３時間未満の場合は、3時間となります。" sqref="AV17:AW17">
      <formula1>3</formula1>
    </dataValidation>
    <dataValidation type="whole" operator="greaterThanOrEqual" allowBlank="1" showInputMessage="1" showErrorMessage="1" errorTitle="最低３時間です！" error="３時間未満の場合は、3時間となります！" sqref="BP17:BP19 BE20">
      <formula1>3</formula1>
    </dataValidation>
    <dataValidation type="whole" operator="lessThanOrEqual" allowBlank="1" showInputMessage="1" showErrorMessage="1" errorTitle="２０％以内です！" error="割増率は２０％以内です！" sqref="J42:J43 F42:F44">
      <formula1>20</formula1>
    </dataValidation>
  </dataValidations>
  <pageMargins left="0.70866141732283472" right="0.23" top="0.39370078740157483" bottom="0.23622047244094491" header="0.31496062992125984" footer="0.23622047244094491"/>
  <pageSetup paperSize="9" scale="56" orientation="portrait" r:id="rId1"/>
  <ignoredErrors>
    <ignoredError sqref="J48 Y48 AB46:AC46 AH48 AB48:AC48 AH46 Y46 J46" formula="1"/>
    <ignoredError sqref="G63:M63" unlockedFormula="1"/>
  </ignoredErrors>
  <drawing r:id="rId2"/>
  <legacyDrawing r:id="rId3"/>
</worksheet>
</file>

<file path=xl/worksheets/sheet4.xml><?xml version="1.0" encoding="utf-8"?>
<worksheet xmlns="http://schemas.openxmlformats.org/spreadsheetml/2006/main" xmlns:r="http://schemas.openxmlformats.org/officeDocument/2006/relationships">
  <dimension ref="A1:AK23"/>
  <sheetViews>
    <sheetView workbookViewId="0">
      <selection sqref="A1:D1"/>
    </sheetView>
  </sheetViews>
  <sheetFormatPr defaultRowHeight="13.5"/>
  <cols>
    <col min="2" max="2" width="9" style="29"/>
    <col min="9" max="9" width="9" style="29"/>
    <col min="16" max="16" width="9" style="29"/>
    <col min="23" max="23" width="9" style="29"/>
    <col min="30" max="30" width="9" style="29"/>
    <col min="37" max="37" width="9" style="29"/>
  </cols>
  <sheetData>
    <row r="1" spans="1:34">
      <c r="A1" s="331" t="s">
        <v>73</v>
      </c>
      <c r="B1" s="331"/>
      <c r="C1" s="331"/>
      <c r="D1" s="331"/>
      <c r="E1" s="8" t="s">
        <v>7</v>
      </c>
      <c r="F1" s="8" t="s">
        <v>8</v>
      </c>
      <c r="H1" s="331" t="s">
        <v>74</v>
      </c>
      <c r="I1" s="331"/>
      <c r="J1" s="331"/>
      <c r="K1" s="331"/>
      <c r="L1" s="8" t="s">
        <v>7</v>
      </c>
      <c r="M1" s="8" t="s">
        <v>8</v>
      </c>
      <c r="O1" s="331" t="s">
        <v>75</v>
      </c>
      <c r="P1" s="331"/>
      <c r="Q1" s="331"/>
      <c r="R1" s="331"/>
      <c r="S1" s="8" t="s">
        <v>7</v>
      </c>
      <c r="T1" s="8" t="s">
        <v>8</v>
      </c>
      <c r="V1" s="331" t="s">
        <v>76</v>
      </c>
      <c r="W1" s="331"/>
      <c r="X1" s="331"/>
      <c r="Y1" s="331"/>
      <c r="Z1" s="8" t="s">
        <v>7</v>
      </c>
      <c r="AA1" s="8" t="s">
        <v>8</v>
      </c>
      <c r="AC1" s="331" t="s">
        <v>78</v>
      </c>
      <c r="AD1" s="331"/>
      <c r="AE1" s="331"/>
      <c r="AF1" s="331"/>
      <c r="AG1" s="8" t="s">
        <v>7</v>
      </c>
      <c r="AH1" s="8" t="s">
        <v>8</v>
      </c>
    </row>
    <row r="2" spans="1:34">
      <c r="A2" s="331" t="s">
        <v>1</v>
      </c>
      <c r="B2" s="332" t="s">
        <v>2</v>
      </c>
      <c r="C2" s="13">
        <v>1</v>
      </c>
      <c r="D2" s="13" t="s">
        <v>3</v>
      </c>
      <c r="E2" s="12">
        <v>170</v>
      </c>
      <c r="F2" s="12">
        <v>120</v>
      </c>
      <c r="H2" s="331" t="s">
        <v>1</v>
      </c>
      <c r="I2" s="332" t="s">
        <v>2</v>
      </c>
      <c r="J2" s="13">
        <v>1</v>
      </c>
      <c r="K2" s="13" t="s">
        <v>3</v>
      </c>
      <c r="L2" s="12">
        <v>200</v>
      </c>
      <c r="M2" s="12">
        <v>140</v>
      </c>
      <c r="O2" s="331" t="s">
        <v>1</v>
      </c>
      <c r="P2" s="332" t="s">
        <v>2</v>
      </c>
      <c r="Q2" s="13">
        <v>1</v>
      </c>
      <c r="R2" s="13" t="s">
        <v>3</v>
      </c>
      <c r="S2" s="12">
        <v>170</v>
      </c>
      <c r="T2" s="12">
        <v>120</v>
      </c>
      <c r="V2" s="331" t="s">
        <v>1</v>
      </c>
      <c r="W2" s="332" t="s">
        <v>2</v>
      </c>
      <c r="X2" s="13">
        <v>1</v>
      </c>
      <c r="Y2" s="13" t="s">
        <v>3</v>
      </c>
      <c r="Z2" s="12">
        <v>170</v>
      </c>
      <c r="AA2" s="12">
        <v>120</v>
      </c>
      <c r="AC2" s="331" t="s">
        <v>1</v>
      </c>
      <c r="AD2" s="332" t="s">
        <v>2</v>
      </c>
      <c r="AE2" s="13">
        <v>1</v>
      </c>
      <c r="AF2" s="13" t="s">
        <v>3</v>
      </c>
      <c r="AG2" s="12">
        <v>160</v>
      </c>
      <c r="AH2" s="12">
        <v>110</v>
      </c>
    </row>
    <row r="3" spans="1:34">
      <c r="A3" s="331"/>
      <c r="B3" s="332"/>
      <c r="C3" s="13">
        <v>2</v>
      </c>
      <c r="D3" s="13" t="s">
        <v>4</v>
      </c>
      <c r="E3" s="12">
        <v>150</v>
      </c>
      <c r="F3" s="12">
        <v>100</v>
      </c>
      <c r="H3" s="331"/>
      <c r="I3" s="332"/>
      <c r="J3" s="13">
        <v>2</v>
      </c>
      <c r="K3" s="13" t="s">
        <v>4</v>
      </c>
      <c r="L3" s="12">
        <v>170</v>
      </c>
      <c r="M3" s="12">
        <v>120</v>
      </c>
      <c r="O3" s="331"/>
      <c r="P3" s="332"/>
      <c r="Q3" s="13">
        <v>2</v>
      </c>
      <c r="R3" s="13" t="s">
        <v>4</v>
      </c>
      <c r="S3" s="12">
        <v>150</v>
      </c>
      <c r="T3" s="12">
        <v>100</v>
      </c>
      <c r="V3" s="331"/>
      <c r="W3" s="332"/>
      <c r="X3" s="13">
        <v>2</v>
      </c>
      <c r="Y3" s="13" t="s">
        <v>4</v>
      </c>
      <c r="Z3" s="12">
        <v>150</v>
      </c>
      <c r="AA3" s="12">
        <v>100</v>
      </c>
      <c r="AC3" s="331"/>
      <c r="AD3" s="332"/>
      <c r="AE3" s="13">
        <v>2</v>
      </c>
      <c r="AF3" s="13" t="s">
        <v>4</v>
      </c>
      <c r="AG3" s="12">
        <v>130</v>
      </c>
      <c r="AH3" s="12">
        <v>90</v>
      </c>
    </row>
    <row r="4" spans="1:34">
      <c r="A4" s="331"/>
      <c r="B4" s="332"/>
      <c r="C4" s="13">
        <v>3</v>
      </c>
      <c r="D4" s="13" t="s">
        <v>5</v>
      </c>
      <c r="E4" s="12">
        <v>120</v>
      </c>
      <c r="F4" s="12">
        <v>90</v>
      </c>
      <c r="H4" s="331"/>
      <c r="I4" s="332"/>
      <c r="J4" s="13">
        <v>3</v>
      </c>
      <c r="K4" s="13" t="s">
        <v>5</v>
      </c>
      <c r="L4" s="12">
        <v>140</v>
      </c>
      <c r="M4" s="12">
        <v>100</v>
      </c>
      <c r="O4" s="331"/>
      <c r="P4" s="332"/>
      <c r="Q4" s="13">
        <v>3</v>
      </c>
      <c r="R4" s="13" t="s">
        <v>5</v>
      </c>
      <c r="S4" s="12">
        <v>120</v>
      </c>
      <c r="T4" s="12">
        <v>80</v>
      </c>
      <c r="V4" s="331"/>
      <c r="W4" s="332"/>
      <c r="X4" s="13">
        <v>3</v>
      </c>
      <c r="Y4" s="13" t="s">
        <v>5</v>
      </c>
      <c r="Z4" s="12">
        <v>120</v>
      </c>
      <c r="AA4" s="12">
        <v>90</v>
      </c>
      <c r="AC4" s="331"/>
      <c r="AD4" s="332"/>
      <c r="AE4" s="13">
        <v>3</v>
      </c>
      <c r="AF4" s="13" t="s">
        <v>5</v>
      </c>
      <c r="AG4" s="12">
        <v>110</v>
      </c>
      <c r="AH4" s="12">
        <v>80</v>
      </c>
    </row>
    <row r="5" spans="1:34">
      <c r="A5" s="331"/>
      <c r="B5" s="332" t="s">
        <v>6</v>
      </c>
      <c r="C5" s="13">
        <v>1</v>
      </c>
      <c r="D5" s="13" t="s">
        <v>3</v>
      </c>
      <c r="E5" s="12">
        <v>6130</v>
      </c>
      <c r="F5" s="12">
        <v>4250</v>
      </c>
      <c r="H5" s="331"/>
      <c r="I5" s="332" t="s">
        <v>6</v>
      </c>
      <c r="J5" s="13">
        <v>1</v>
      </c>
      <c r="K5" s="13" t="s">
        <v>3</v>
      </c>
      <c r="L5" s="12">
        <v>7460</v>
      </c>
      <c r="M5" s="12">
        <v>5160</v>
      </c>
      <c r="O5" s="331"/>
      <c r="P5" s="332" t="s">
        <v>6</v>
      </c>
      <c r="Q5" s="13">
        <v>1</v>
      </c>
      <c r="R5" s="13" t="s">
        <v>3</v>
      </c>
      <c r="S5" s="12">
        <v>7680</v>
      </c>
      <c r="T5" s="12">
        <v>5310</v>
      </c>
      <c r="V5" s="331"/>
      <c r="W5" s="332" t="s">
        <v>6</v>
      </c>
      <c r="X5" s="13">
        <v>1</v>
      </c>
      <c r="Y5" s="13" t="s">
        <v>3</v>
      </c>
      <c r="Z5" s="12">
        <v>7350</v>
      </c>
      <c r="AA5" s="12">
        <v>5090</v>
      </c>
      <c r="AC5" s="331"/>
      <c r="AD5" s="332" t="s">
        <v>6</v>
      </c>
      <c r="AE5" s="13">
        <v>1</v>
      </c>
      <c r="AF5" s="13" t="s">
        <v>3</v>
      </c>
      <c r="AG5" s="12">
        <v>7660</v>
      </c>
      <c r="AH5" s="12">
        <v>5310</v>
      </c>
    </row>
    <row r="6" spans="1:34">
      <c r="A6" s="331"/>
      <c r="B6" s="332"/>
      <c r="C6" s="13">
        <v>2</v>
      </c>
      <c r="D6" s="13" t="s">
        <v>4</v>
      </c>
      <c r="E6" s="12">
        <v>5180</v>
      </c>
      <c r="F6" s="12">
        <v>3580</v>
      </c>
      <c r="H6" s="331"/>
      <c r="I6" s="332"/>
      <c r="J6" s="13">
        <v>2</v>
      </c>
      <c r="K6" s="13" t="s">
        <v>4</v>
      </c>
      <c r="L6" s="12">
        <v>6290</v>
      </c>
      <c r="M6" s="12">
        <v>4360</v>
      </c>
      <c r="O6" s="331"/>
      <c r="P6" s="332"/>
      <c r="Q6" s="13">
        <v>2</v>
      </c>
      <c r="R6" s="13" t="s">
        <v>4</v>
      </c>
      <c r="S6" s="12">
        <v>6480</v>
      </c>
      <c r="T6" s="12">
        <v>4490</v>
      </c>
      <c r="V6" s="331"/>
      <c r="W6" s="332"/>
      <c r="X6" s="13">
        <v>2</v>
      </c>
      <c r="Y6" s="13" t="s">
        <v>4</v>
      </c>
      <c r="Z6" s="12">
        <v>6210</v>
      </c>
      <c r="AA6" s="12">
        <v>4300</v>
      </c>
      <c r="AC6" s="331"/>
      <c r="AD6" s="332"/>
      <c r="AE6" s="13">
        <v>2</v>
      </c>
      <c r="AF6" s="13" t="s">
        <v>4</v>
      </c>
      <c r="AG6" s="12">
        <v>6470</v>
      </c>
      <c r="AH6" s="12">
        <v>4480</v>
      </c>
    </row>
    <row r="7" spans="1:34">
      <c r="A7" s="331"/>
      <c r="B7" s="332"/>
      <c r="C7" s="13">
        <v>3</v>
      </c>
      <c r="D7" s="13" t="s">
        <v>5</v>
      </c>
      <c r="E7" s="12">
        <v>4450</v>
      </c>
      <c r="F7" s="12">
        <v>3080</v>
      </c>
      <c r="H7" s="331"/>
      <c r="I7" s="332"/>
      <c r="J7" s="13">
        <v>3</v>
      </c>
      <c r="K7" s="13" t="s">
        <v>5</v>
      </c>
      <c r="L7" s="12">
        <v>5410</v>
      </c>
      <c r="M7" s="12">
        <v>3740</v>
      </c>
      <c r="O7" s="331"/>
      <c r="P7" s="332"/>
      <c r="Q7" s="13">
        <v>3</v>
      </c>
      <c r="R7" s="13" t="s">
        <v>5</v>
      </c>
      <c r="S7" s="12">
        <v>5560</v>
      </c>
      <c r="T7" s="12">
        <v>3850</v>
      </c>
      <c r="V7" s="331"/>
      <c r="W7" s="332"/>
      <c r="X7" s="13">
        <v>3</v>
      </c>
      <c r="Y7" s="13" t="s">
        <v>5</v>
      </c>
      <c r="Z7" s="12">
        <v>5330</v>
      </c>
      <c r="AA7" s="12">
        <v>3690</v>
      </c>
      <c r="AC7" s="331"/>
      <c r="AD7" s="332"/>
      <c r="AE7" s="13">
        <v>3</v>
      </c>
      <c r="AF7" s="13" t="s">
        <v>5</v>
      </c>
      <c r="AG7" s="12">
        <v>5550</v>
      </c>
      <c r="AH7" s="12">
        <v>3850</v>
      </c>
    </row>
    <row r="8" spans="1:34">
      <c r="A8" s="331" t="s">
        <v>9</v>
      </c>
      <c r="B8" s="332" t="s">
        <v>30</v>
      </c>
      <c r="C8" s="331" t="s">
        <v>2</v>
      </c>
      <c r="D8" s="331"/>
      <c r="E8" s="12">
        <v>20</v>
      </c>
      <c r="F8" s="12">
        <v>10</v>
      </c>
      <c r="H8" s="331" t="s">
        <v>9</v>
      </c>
      <c r="I8" s="332" t="s">
        <v>30</v>
      </c>
      <c r="J8" s="331" t="s">
        <v>2</v>
      </c>
      <c r="K8" s="331"/>
      <c r="L8" s="12">
        <v>20</v>
      </c>
      <c r="M8" s="12">
        <v>10</v>
      </c>
      <c r="O8" s="331" t="s">
        <v>9</v>
      </c>
      <c r="P8" s="332" t="s">
        <v>30</v>
      </c>
      <c r="Q8" s="331" t="s">
        <v>2</v>
      </c>
      <c r="R8" s="331"/>
      <c r="S8" s="12">
        <v>40</v>
      </c>
      <c r="T8" s="12">
        <v>30</v>
      </c>
      <c r="V8" s="331" t="s">
        <v>9</v>
      </c>
      <c r="W8" s="332" t="s">
        <v>30</v>
      </c>
      <c r="X8" s="331" t="s">
        <v>2</v>
      </c>
      <c r="Y8" s="331"/>
      <c r="Z8" s="12">
        <v>30</v>
      </c>
      <c r="AA8" s="12">
        <v>20</v>
      </c>
      <c r="AC8" s="331" t="s">
        <v>9</v>
      </c>
      <c r="AD8" s="332" t="s">
        <v>30</v>
      </c>
      <c r="AE8" s="331" t="s">
        <v>2</v>
      </c>
      <c r="AF8" s="331"/>
      <c r="AG8" s="12">
        <v>20</v>
      </c>
      <c r="AH8" s="12">
        <v>20</v>
      </c>
    </row>
    <row r="9" spans="1:34">
      <c r="A9" s="331"/>
      <c r="B9" s="332"/>
      <c r="C9" s="331" t="s">
        <v>6</v>
      </c>
      <c r="D9" s="331"/>
      <c r="E9" s="12">
        <v>2730</v>
      </c>
      <c r="F9" s="12">
        <v>1890</v>
      </c>
      <c r="H9" s="331"/>
      <c r="I9" s="332"/>
      <c r="J9" s="331" t="s">
        <v>6</v>
      </c>
      <c r="K9" s="331"/>
      <c r="L9" s="12">
        <v>2610</v>
      </c>
      <c r="M9" s="12">
        <v>1810</v>
      </c>
      <c r="O9" s="331"/>
      <c r="P9" s="332"/>
      <c r="Q9" s="331" t="s">
        <v>6</v>
      </c>
      <c r="R9" s="331"/>
      <c r="S9" s="12">
        <v>3080</v>
      </c>
      <c r="T9" s="12">
        <v>2130</v>
      </c>
      <c r="V9" s="331"/>
      <c r="W9" s="332"/>
      <c r="X9" s="331" t="s">
        <v>6</v>
      </c>
      <c r="Y9" s="331"/>
      <c r="Z9" s="12">
        <v>2820</v>
      </c>
      <c r="AA9" s="12">
        <v>1950</v>
      </c>
      <c r="AC9" s="331"/>
      <c r="AD9" s="332"/>
      <c r="AE9" s="331" t="s">
        <v>6</v>
      </c>
      <c r="AF9" s="331"/>
      <c r="AG9" s="12">
        <v>3340</v>
      </c>
      <c r="AH9" s="12">
        <v>2310</v>
      </c>
    </row>
    <row r="10" spans="1:34" ht="27">
      <c r="A10" s="331"/>
      <c r="B10" s="28" t="s">
        <v>10</v>
      </c>
      <c r="C10" s="333" t="s">
        <v>13</v>
      </c>
      <c r="D10" s="333"/>
      <c r="E10" s="333"/>
      <c r="F10" s="333"/>
      <c r="H10" s="331"/>
      <c r="I10" s="28" t="s">
        <v>10</v>
      </c>
      <c r="J10" s="333" t="s">
        <v>13</v>
      </c>
      <c r="K10" s="333"/>
      <c r="L10" s="333"/>
      <c r="M10" s="333"/>
      <c r="O10" s="331"/>
      <c r="P10" s="28" t="s">
        <v>10</v>
      </c>
      <c r="Q10" s="333" t="s">
        <v>13</v>
      </c>
      <c r="R10" s="333"/>
      <c r="S10" s="333"/>
      <c r="T10" s="333"/>
      <c r="V10" s="331"/>
      <c r="W10" s="28" t="s">
        <v>10</v>
      </c>
      <c r="X10" s="333" t="s">
        <v>13</v>
      </c>
      <c r="Y10" s="333"/>
      <c r="Z10" s="333"/>
      <c r="AA10" s="333"/>
      <c r="AC10" s="331"/>
      <c r="AD10" s="28" t="s">
        <v>10</v>
      </c>
      <c r="AE10" s="333" t="s">
        <v>13</v>
      </c>
      <c r="AF10" s="333"/>
      <c r="AG10" s="333"/>
      <c r="AH10" s="333"/>
    </row>
    <row r="11" spans="1:34" ht="27">
      <c r="A11" s="331"/>
      <c r="B11" s="28" t="s">
        <v>11</v>
      </c>
      <c r="C11" s="331" t="s">
        <v>12</v>
      </c>
      <c r="D11" s="331"/>
      <c r="E11" s="331"/>
      <c r="F11" s="331"/>
      <c r="H11" s="331"/>
      <c r="I11" s="28" t="s">
        <v>11</v>
      </c>
      <c r="J11" s="331" t="s">
        <v>12</v>
      </c>
      <c r="K11" s="331"/>
      <c r="L11" s="331"/>
      <c r="M11" s="331"/>
      <c r="O11" s="331"/>
      <c r="P11" s="28" t="s">
        <v>11</v>
      </c>
      <c r="Q11" s="331" t="s">
        <v>12</v>
      </c>
      <c r="R11" s="331"/>
      <c r="S11" s="331"/>
      <c r="T11" s="331"/>
      <c r="V11" s="331"/>
      <c r="W11" s="28" t="s">
        <v>11</v>
      </c>
      <c r="X11" s="331" t="s">
        <v>12</v>
      </c>
      <c r="Y11" s="331"/>
      <c r="Z11" s="331"/>
      <c r="AA11" s="331"/>
      <c r="AC11" s="331"/>
      <c r="AD11" s="28" t="s">
        <v>11</v>
      </c>
      <c r="AE11" s="331" t="s">
        <v>12</v>
      </c>
      <c r="AF11" s="331"/>
      <c r="AG11" s="331"/>
      <c r="AH11" s="331"/>
    </row>
    <row r="13" spans="1:34">
      <c r="A13" s="331" t="s">
        <v>77</v>
      </c>
      <c r="B13" s="331"/>
      <c r="C13" s="331"/>
      <c r="D13" s="331"/>
      <c r="E13" s="8" t="s">
        <v>7</v>
      </c>
      <c r="F13" s="8" t="s">
        <v>8</v>
      </c>
      <c r="H13" s="331" t="s">
        <v>103</v>
      </c>
      <c r="I13" s="331"/>
      <c r="J13" s="331"/>
      <c r="K13" s="331"/>
      <c r="L13" s="8" t="s">
        <v>7</v>
      </c>
      <c r="M13" s="8" t="s">
        <v>8</v>
      </c>
      <c r="O13" s="331" t="s">
        <v>79</v>
      </c>
      <c r="P13" s="331"/>
      <c r="Q13" s="331"/>
      <c r="R13" s="331"/>
      <c r="S13" s="8" t="s">
        <v>7</v>
      </c>
      <c r="T13" s="8" t="s">
        <v>8</v>
      </c>
      <c r="V13" s="331" t="s">
        <v>80</v>
      </c>
      <c r="W13" s="331"/>
      <c r="X13" s="331"/>
      <c r="Y13" s="331"/>
      <c r="Z13" s="8" t="s">
        <v>7</v>
      </c>
      <c r="AA13" s="8" t="s">
        <v>8</v>
      </c>
      <c r="AC13" s="331" t="s">
        <v>81</v>
      </c>
      <c r="AD13" s="331"/>
      <c r="AE13" s="331"/>
      <c r="AF13" s="331"/>
      <c r="AG13" s="8" t="s">
        <v>7</v>
      </c>
      <c r="AH13" s="8" t="s">
        <v>8</v>
      </c>
    </row>
    <row r="14" spans="1:34">
      <c r="A14" s="331" t="s">
        <v>1</v>
      </c>
      <c r="B14" s="332" t="s">
        <v>2</v>
      </c>
      <c r="C14" s="13">
        <v>1</v>
      </c>
      <c r="D14" s="13" t="s">
        <v>3</v>
      </c>
      <c r="E14" s="12">
        <v>170</v>
      </c>
      <c r="F14" s="12">
        <v>120</v>
      </c>
      <c r="H14" s="331" t="s">
        <v>1</v>
      </c>
      <c r="I14" s="332" t="s">
        <v>2</v>
      </c>
      <c r="J14" s="9">
        <v>1</v>
      </c>
      <c r="K14" s="9" t="s">
        <v>3</v>
      </c>
      <c r="L14" s="12">
        <v>210</v>
      </c>
      <c r="M14" s="12">
        <v>150</v>
      </c>
      <c r="O14" s="331" t="s">
        <v>1</v>
      </c>
      <c r="P14" s="332" t="s">
        <v>2</v>
      </c>
      <c r="Q14" s="14">
        <v>1</v>
      </c>
      <c r="R14" s="14" t="s">
        <v>3</v>
      </c>
      <c r="S14" s="12">
        <v>140</v>
      </c>
      <c r="T14" s="12">
        <v>100</v>
      </c>
      <c r="V14" s="331" t="s">
        <v>1</v>
      </c>
      <c r="W14" s="332" t="s">
        <v>2</v>
      </c>
      <c r="X14" s="14">
        <v>1</v>
      </c>
      <c r="Y14" s="14" t="s">
        <v>3</v>
      </c>
      <c r="Z14" s="12">
        <v>150</v>
      </c>
      <c r="AA14" s="12">
        <v>100</v>
      </c>
      <c r="AC14" s="331" t="s">
        <v>1</v>
      </c>
      <c r="AD14" s="332" t="s">
        <v>2</v>
      </c>
      <c r="AE14" s="14">
        <v>1</v>
      </c>
      <c r="AF14" s="14" t="s">
        <v>3</v>
      </c>
      <c r="AG14" s="12">
        <v>250</v>
      </c>
      <c r="AH14" s="12">
        <v>170</v>
      </c>
    </row>
    <row r="15" spans="1:34">
      <c r="A15" s="331"/>
      <c r="B15" s="332"/>
      <c r="C15" s="13">
        <v>2</v>
      </c>
      <c r="D15" s="13" t="s">
        <v>4</v>
      </c>
      <c r="E15" s="12">
        <v>150</v>
      </c>
      <c r="F15" s="12">
        <v>100</v>
      </c>
      <c r="H15" s="331"/>
      <c r="I15" s="332"/>
      <c r="J15" s="9">
        <v>2</v>
      </c>
      <c r="K15" s="9" t="s">
        <v>4</v>
      </c>
      <c r="L15" s="12">
        <v>180</v>
      </c>
      <c r="M15" s="12">
        <v>130</v>
      </c>
      <c r="O15" s="331"/>
      <c r="P15" s="332"/>
      <c r="Q15" s="14">
        <v>2</v>
      </c>
      <c r="R15" s="14" t="s">
        <v>4</v>
      </c>
      <c r="S15" s="12">
        <v>120</v>
      </c>
      <c r="T15" s="12">
        <v>90</v>
      </c>
      <c r="V15" s="331"/>
      <c r="W15" s="332"/>
      <c r="X15" s="14">
        <v>2</v>
      </c>
      <c r="Y15" s="14" t="s">
        <v>4</v>
      </c>
      <c r="Z15" s="12">
        <v>130</v>
      </c>
      <c r="AA15" s="12">
        <v>90</v>
      </c>
      <c r="AC15" s="331"/>
      <c r="AD15" s="332"/>
      <c r="AE15" s="14">
        <v>2</v>
      </c>
      <c r="AF15" s="14" t="s">
        <v>4</v>
      </c>
      <c r="AG15" s="12">
        <v>210</v>
      </c>
      <c r="AH15" s="12">
        <v>150</v>
      </c>
    </row>
    <row r="16" spans="1:34">
      <c r="A16" s="331"/>
      <c r="B16" s="332"/>
      <c r="C16" s="13">
        <v>3</v>
      </c>
      <c r="D16" s="13" t="s">
        <v>5</v>
      </c>
      <c r="E16" s="12">
        <v>120</v>
      </c>
      <c r="F16" s="12">
        <v>90</v>
      </c>
      <c r="H16" s="331"/>
      <c r="I16" s="332"/>
      <c r="J16" s="9">
        <v>3</v>
      </c>
      <c r="K16" s="9" t="s">
        <v>5</v>
      </c>
      <c r="L16" s="12">
        <v>150</v>
      </c>
      <c r="M16" s="12">
        <v>110</v>
      </c>
      <c r="O16" s="331"/>
      <c r="P16" s="332"/>
      <c r="Q16" s="14">
        <v>3</v>
      </c>
      <c r="R16" s="14" t="s">
        <v>5</v>
      </c>
      <c r="S16" s="12">
        <v>100</v>
      </c>
      <c r="T16" s="12">
        <v>70</v>
      </c>
      <c r="V16" s="331"/>
      <c r="W16" s="332"/>
      <c r="X16" s="14">
        <v>3</v>
      </c>
      <c r="Y16" s="14" t="s">
        <v>5</v>
      </c>
      <c r="Z16" s="12">
        <v>110</v>
      </c>
      <c r="AA16" s="12">
        <v>80</v>
      </c>
      <c r="AC16" s="331"/>
      <c r="AD16" s="332"/>
      <c r="AE16" s="14">
        <v>3</v>
      </c>
      <c r="AF16" s="14" t="s">
        <v>5</v>
      </c>
      <c r="AG16" s="12">
        <v>180</v>
      </c>
      <c r="AH16" s="12">
        <v>120</v>
      </c>
    </row>
    <row r="17" spans="1:34">
      <c r="A17" s="331"/>
      <c r="B17" s="332" t="s">
        <v>6</v>
      </c>
      <c r="C17" s="13">
        <v>1</v>
      </c>
      <c r="D17" s="13" t="s">
        <v>3</v>
      </c>
      <c r="E17" s="12">
        <v>8660</v>
      </c>
      <c r="F17" s="12">
        <v>5990</v>
      </c>
      <c r="H17" s="331"/>
      <c r="I17" s="332" t="s">
        <v>6</v>
      </c>
      <c r="J17" s="9">
        <v>1</v>
      </c>
      <c r="K17" s="9" t="s">
        <v>3</v>
      </c>
      <c r="L17" s="12">
        <v>7230</v>
      </c>
      <c r="M17" s="12">
        <v>5010</v>
      </c>
      <c r="O17" s="331"/>
      <c r="P17" s="332" t="s">
        <v>6</v>
      </c>
      <c r="Q17" s="14">
        <v>1</v>
      </c>
      <c r="R17" s="14" t="s">
        <v>3</v>
      </c>
      <c r="S17" s="12">
        <v>7300</v>
      </c>
      <c r="T17" s="12">
        <v>5050</v>
      </c>
      <c r="V17" s="331"/>
      <c r="W17" s="332" t="s">
        <v>6</v>
      </c>
      <c r="X17" s="14">
        <v>1</v>
      </c>
      <c r="Y17" s="14" t="s">
        <v>3</v>
      </c>
      <c r="Z17" s="12">
        <v>6910</v>
      </c>
      <c r="AA17" s="12">
        <v>4790</v>
      </c>
      <c r="AC17" s="331"/>
      <c r="AD17" s="332" t="s">
        <v>6</v>
      </c>
      <c r="AE17" s="14">
        <v>1</v>
      </c>
      <c r="AF17" s="14" t="s">
        <v>3</v>
      </c>
      <c r="AG17" s="12">
        <v>5870</v>
      </c>
      <c r="AH17" s="12">
        <v>4060</v>
      </c>
    </row>
    <row r="18" spans="1:34">
      <c r="A18" s="331"/>
      <c r="B18" s="332"/>
      <c r="C18" s="13">
        <v>2</v>
      </c>
      <c r="D18" s="13" t="s">
        <v>4</v>
      </c>
      <c r="E18" s="12">
        <v>7310</v>
      </c>
      <c r="F18" s="12">
        <v>5060</v>
      </c>
      <c r="H18" s="331"/>
      <c r="I18" s="332"/>
      <c r="J18" s="9">
        <v>2</v>
      </c>
      <c r="K18" s="9" t="s">
        <v>4</v>
      </c>
      <c r="L18" s="12">
        <v>6100</v>
      </c>
      <c r="M18" s="12">
        <v>4230</v>
      </c>
      <c r="O18" s="331"/>
      <c r="P18" s="332"/>
      <c r="Q18" s="14">
        <v>2</v>
      </c>
      <c r="R18" s="14" t="s">
        <v>4</v>
      </c>
      <c r="S18" s="12">
        <v>6160</v>
      </c>
      <c r="T18" s="12">
        <v>4260</v>
      </c>
      <c r="V18" s="331"/>
      <c r="W18" s="332"/>
      <c r="X18" s="14">
        <v>2</v>
      </c>
      <c r="Y18" s="14" t="s">
        <v>4</v>
      </c>
      <c r="Z18" s="12">
        <v>5830</v>
      </c>
      <c r="AA18" s="12">
        <v>4040</v>
      </c>
      <c r="AC18" s="331"/>
      <c r="AD18" s="332"/>
      <c r="AE18" s="14">
        <v>2</v>
      </c>
      <c r="AF18" s="14" t="s">
        <v>4</v>
      </c>
      <c r="AG18" s="12">
        <v>4960</v>
      </c>
      <c r="AH18" s="12">
        <v>3430</v>
      </c>
    </row>
    <row r="19" spans="1:34">
      <c r="A19" s="331"/>
      <c r="B19" s="332"/>
      <c r="C19" s="13">
        <v>3</v>
      </c>
      <c r="D19" s="13" t="s">
        <v>5</v>
      </c>
      <c r="E19" s="12">
        <v>6280</v>
      </c>
      <c r="F19" s="12">
        <v>4340</v>
      </c>
      <c r="H19" s="331"/>
      <c r="I19" s="332"/>
      <c r="J19" s="9">
        <v>3</v>
      </c>
      <c r="K19" s="9" t="s">
        <v>5</v>
      </c>
      <c r="L19" s="12">
        <v>5240</v>
      </c>
      <c r="M19" s="12">
        <v>3630</v>
      </c>
      <c r="O19" s="331"/>
      <c r="P19" s="332"/>
      <c r="Q19" s="14">
        <v>3</v>
      </c>
      <c r="R19" s="14" t="s">
        <v>5</v>
      </c>
      <c r="S19" s="12">
        <v>5290</v>
      </c>
      <c r="T19" s="12">
        <v>3660</v>
      </c>
      <c r="V19" s="331"/>
      <c r="W19" s="332"/>
      <c r="X19" s="14">
        <v>3</v>
      </c>
      <c r="Y19" s="14" t="s">
        <v>5</v>
      </c>
      <c r="Z19" s="12">
        <v>5010</v>
      </c>
      <c r="AA19" s="12">
        <v>3470</v>
      </c>
      <c r="AC19" s="331"/>
      <c r="AD19" s="332"/>
      <c r="AE19" s="14">
        <v>3</v>
      </c>
      <c r="AF19" s="14" t="s">
        <v>5</v>
      </c>
      <c r="AG19" s="12">
        <v>4260</v>
      </c>
      <c r="AH19" s="12">
        <v>2950</v>
      </c>
    </row>
    <row r="20" spans="1:34">
      <c r="A20" s="331" t="s">
        <v>9</v>
      </c>
      <c r="B20" s="332" t="s">
        <v>30</v>
      </c>
      <c r="C20" s="331" t="s">
        <v>2</v>
      </c>
      <c r="D20" s="331"/>
      <c r="E20" s="12">
        <v>30</v>
      </c>
      <c r="F20" s="12">
        <v>20</v>
      </c>
      <c r="H20" s="331" t="s">
        <v>9</v>
      </c>
      <c r="I20" s="332" t="s">
        <v>30</v>
      </c>
      <c r="J20" s="331" t="s">
        <v>2</v>
      </c>
      <c r="K20" s="331"/>
      <c r="L20" s="12">
        <v>40</v>
      </c>
      <c r="M20" s="12">
        <v>30</v>
      </c>
      <c r="O20" s="331" t="s">
        <v>9</v>
      </c>
      <c r="P20" s="332" t="s">
        <v>30</v>
      </c>
      <c r="Q20" s="331" t="s">
        <v>2</v>
      </c>
      <c r="R20" s="331"/>
      <c r="S20" s="12">
        <v>30</v>
      </c>
      <c r="T20" s="12">
        <v>20</v>
      </c>
      <c r="V20" s="331" t="s">
        <v>9</v>
      </c>
      <c r="W20" s="332" t="s">
        <v>30</v>
      </c>
      <c r="X20" s="331" t="s">
        <v>2</v>
      </c>
      <c r="Y20" s="331"/>
      <c r="Z20" s="12">
        <v>10</v>
      </c>
      <c r="AA20" s="12">
        <v>10</v>
      </c>
      <c r="AC20" s="331" t="s">
        <v>9</v>
      </c>
      <c r="AD20" s="332" t="s">
        <v>30</v>
      </c>
      <c r="AE20" s="331" t="s">
        <v>2</v>
      </c>
      <c r="AF20" s="331"/>
      <c r="AG20" s="12">
        <v>50</v>
      </c>
      <c r="AH20" s="12">
        <v>30</v>
      </c>
    </row>
    <row r="21" spans="1:34">
      <c r="A21" s="331"/>
      <c r="B21" s="332"/>
      <c r="C21" s="331" t="s">
        <v>6</v>
      </c>
      <c r="D21" s="331"/>
      <c r="E21" s="12">
        <v>3130</v>
      </c>
      <c r="F21" s="12">
        <v>2170</v>
      </c>
      <c r="H21" s="331"/>
      <c r="I21" s="332"/>
      <c r="J21" s="331" t="s">
        <v>6</v>
      </c>
      <c r="K21" s="331"/>
      <c r="L21" s="12">
        <v>2770</v>
      </c>
      <c r="M21" s="12">
        <v>1920</v>
      </c>
      <c r="O21" s="331"/>
      <c r="P21" s="332"/>
      <c r="Q21" s="331" t="s">
        <v>6</v>
      </c>
      <c r="R21" s="331"/>
      <c r="S21" s="12">
        <v>2630</v>
      </c>
      <c r="T21" s="12">
        <v>1820</v>
      </c>
      <c r="V21" s="331"/>
      <c r="W21" s="332"/>
      <c r="X21" s="331" t="s">
        <v>6</v>
      </c>
      <c r="Y21" s="331"/>
      <c r="Z21" s="12">
        <v>2700</v>
      </c>
      <c r="AA21" s="12">
        <v>1870</v>
      </c>
      <c r="AC21" s="331"/>
      <c r="AD21" s="332"/>
      <c r="AE21" s="331" t="s">
        <v>6</v>
      </c>
      <c r="AF21" s="331"/>
      <c r="AG21" s="12">
        <v>3040</v>
      </c>
      <c r="AH21" s="12">
        <v>2110</v>
      </c>
    </row>
    <row r="22" spans="1:34" ht="27">
      <c r="A22" s="331"/>
      <c r="B22" s="28" t="s">
        <v>10</v>
      </c>
      <c r="C22" s="333" t="s">
        <v>13</v>
      </c>
      <c r="D22" s="333"/>
      <c r="E22" s="333"/>
      <c r="F22" s="333"/>
      <c r="H22" s="331"/>
      <c r="I22" s="28" t="s">
        <v>10</v>
      </c>
      <c r="J22" s="333" t="s">
        <v>13</v>
      </c>
      <c r="K22" s="333"/>
      <c r="L22" s="333"/>
      <c r="M22" s="333"/>
      <c r="O22" s="331"/>
      <c r="P22" s="28" t="s">
        <v>10</v>
      </c>
      <c r="Q22" s="333" t="s">
        <v>13</v>
      </c>
      <c r="R22" s="333"/>
      <c r="S22" s="333"/>
      <c r="T22" s="333"/>
      <c r="V22" s="331"/>
      <c r="W22" s="28" t="s">
        <v>10</v>
      </c>
      <c r="X22" s="333" t="s">
        <v>13</v>
      </c>
      <c r="Y22" s="333"/>
      <c r="Z22" s="333"/>
      <c r="AA22" s="333"/>
      <c r="AC22" s="331"/>
      <c r="AD22" s="28" t="s">
        <v>10</v>
      </c>
      <c r="AE22" s="333" t="s">
        <v>13</v>
      </c>
      <c r="AF22" s="333"/>
      <c r="AG22" s="333"/>
      <c r="AH22" s="333"/>
    </row>
    <row r="23" spans="1:34" ht="27">
      <c r="A23" s="331"/>
      <c r="B23" s="28" t="s">
        <v>11</v>
      </c>
      <c r="C23" s="331" t="s">
        <v>12</v>
      </c>
      <c r="D23" s="331"/>
      <c r="E23" s="331"/>
      <c r="F23" s="331"/>
      <c r="H23" s="331"/>
      <c r="I23" s="28" t="s">
        <v>11</v>
      </c>
      <c r="J23" s="331" t="s">
        <v>12</v>
      </c>
      <c r="K23" s="331"/>
      <c r="L23" s="331"/>
      <c r="M23" s="331"/>
      <c r="O23" s="331"/>
      <c r="P23" s="28" t="s">
        <v>11</v>
      </c>
      <c r="Q23" s="331" t="s">
        <v>12</v>
      </c>
      <c r="R23" s="331"/>
      <c r="S23" s="331"/>
      <c r="T23" s="331"/>
      <c r="V23" s="331"/>
      <c r="W23" s="28" t="s">
        <v>11</v>
      </c>
      <c r="X23" s="331" t="s">
        <v>12</v>
      </c>
      <c r="Y23" s="331"/>
      <c r="Z23" s="331"/>
      <c r="AA23" s="331"/>
      <c r="AC23" s="331"/>
      <c r="AD23" s="28" t="s">
        <v>11</v>
      </c>
      <c r="AE23" s="331" t="s">
        <v>12</v>
      </c>
      <c r="AF23" s="331"/>
      <c r="AG23" s="331"/>
      <c r="AH23" s="331"/>
    </row>
  </sheetData>
  <sheetProtection password="CA41" sheet="1" objects="1" scenarios="1"/>
  <mergeCells count="100">
    <mergeCell ref="C23:F23"/>
    <mergeCell ref="C20:D20"/>
    <mergeCell ref="X9:Y9"/>
    <mergeCell ref="AE9:AF9"/>
    <mergeCell ref="C21:D21"/>
    <mergeCell ref="X10:AA10"/>
    <mergeCell ref="AE10:AH10"/>
    <mergeCell ref="C22:F22"/>
    <mergeCell ref="O13:R13"/>
    <mergeCell ref="O14:O19"/>
    <mergeCell ref="P14:P16"/>
    <mergeCell ref="P17:P19"/>
    <mergeCell ref="O20:O23"/>
    <mergeCell ref="P20:P21"/>
    <mergeCell ref="Q20:R20"/>
    <mergeCell ref="Q21:R21"/>
    <mergeCell ref="AE8:AF8"/>
    <mergeCell ref="A20:A23"/>
    <mergeCell ref="B20:B21"/>
    <mergeCell ref="X11:AA11"/>
    <mergeCell ref="AE11:AH11"/>
    <mergeCell ref="V8:V11"/>
    <mergeCell ref="W8:W9"/>
    <mergeCell ref="X8:Y8"/>
    <mergeCell ref="AC8:AC11"/>
    <mergeCell ref="AD8:AD9"/>
    <mergeCell ref="A14:A19"/>
    <mergeCell ref="B14:B16"/>
    <mergeCell ref="B17:B19"/>
    <mergeCell ref="Q9:R9"/>
    <mergeCell ref="Q10:T10"/>
    <mergeCell ref="Q11:T11"/>
    <mergeCell ref="V1:Y1"/>
    <mergeCell ref="AC1:AF1"/>
    <mergeCell ref="A13:D13"/>
    <mergeCell ref="V2:V7"/>
    <mergeCell ref="W2:W4"/>
    <mergeCell ref="AC2:AC7"/>
    <mergeCell ref="AD2:AD4"/>
    <mergeCell ref="W5:W7"/>
    <mergeCell ref="AD5:AD7"/>
    <mergeCell ref="O1:R1"/>
    <mergeCell ref="O2:O7"/>
    <mergeCell ref="P2:P4"/>
    <mergeCell ref="P5:P7"/>
    <mergeCell ref="O8:O11"/>
    <mergeCell ref="P8:P9"/>
    <mergeCell ref="Q8:R8"/>
    <mergeCell ref="J8:K8"/>
    <mergeCell ref="J9:K9"/>
    <mergeCell ref="J10:M10"/>
    <mergeCell ref="J11:M11"/>
    <mergeCell ref="H1:K1"/>
    <mergeCell ref="H2:H7"/>
    <mergeCell ref="I2:I4"/>
    <mergeCell ref="I5:I7"/>
    <mergeCell ref="H8:H11"/>
    <mergeCell ref="I8:I9"/>
    <mergeCell ref="A1:D1"/>
    <mergeCell ref="A2:A7"/>
    <mergeCell ref="B2:B4"/>
    <mergeCell ref="B5:B7"/>
    <mergeCell ref="A8:A11"/>
    <mergeCell ref="B8:B9"/>
    <mergeCell ref="C8:D8"/>
    <mergeCell ref="C9:D9"/>
    <mergeCell ref="C10:F10"/>
    <mergeCell ref="C11:F11"/>
    <mergeCell ref="Q22:T22"/>
    <mergeCell ref="Q23:T23"/>
    <mergeCell ref="V13:Y13"/>
    <mergeCell ref="V14:V19"/>
    <mergeCell ref="W14:W16"/>
    <mergeCell ref="W17:W19"/>
    <mergeCell ref="V20:V23"/>
    <mergeCell ref="W20:W21"/>
    <mergeCell ref="X20:Y20"/>
    <mergeCell ref="X21:Y21"/>
    <mergeCell ref="X22:AA22"/>
    <mergeCell ref="X23:AA23"/>
    <mergeCell ref="AC13:AF13"/>
    <mergeCell ref="AC14:AC19"/>
    <mergeCell ref="AD14:AD16"/>
    <mergeCell ref="AD17:AD19"/>
    <mergeCell ref="AC20:AC23"/>
    <mergeCell ref="AD20:AD21"/>
    <mergeCell ref="AE20:AF20"/>
    <mergeCell ref="AE21:AF21"/>
    <mergeCell ref="AE22:AH22"/>
    <mergeCell ref="AE23:AH23"/>
    <mergeCell ref="H13:K13"/>
    <mergeCell ref="I20:I21"/>
    <mergeCell ref="J20:K20"/>
    <mergeCell ref="J21:K21"/>
    <mergeCell ref="J22:M22"/>
    <mergeCell ref="H20:H23"/>
    <mergeCell ref="H14:H19"/>
    <mergeCell ref="I14:I16"/>
    <mergeCell ref="I17:I19"/>
    <mergeCell ref="J23:M23"/>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32</vt:i4>
      </vt:variant>
    </vt:vector>
  </HeadingPairs>
  <TitlesOfParts>
    <vt:vector size="36" baseType="lpstr">
      <vt:lpstr>使用上の注意点</vt:lpstr>
      <vt:lpstr>時間入力シート</vt:lpstr>
      <vt:lpstr>時刻入力シート</vt:lpstr>
      <vt:lpstr>公示運賃ｼｰﾄ</vt:lpstr>
      <vt:lpstr>時間入力シート!Print_Area</vt:lpstr>
      <vt:lpstr>時刻入力シート!Print_Area</vt:lpstr>
      <vt:lpstr>沖縄</vt:lpstr>
      <vt:lpstr>沖縄K</vt:lpstr>
      <vt:lpstr>沖縄交</vt:lpstr>
      <vt:lpstr>関東</vt:lpstr>
      <vt:lpstr>関東K</vt:lpstr>
      <vt:lpstr>関東交</vt:lpstr>
      <vt:lpstr>近畿</vt:lpstr>
      <vt:lpstr>近畿K</vt:lpstr>
      <vt:lpstr>近畿交</vt:lpstr>
      <vt:lpstr>九州</vt:lpstr>
      <vt:lpstr>九州K</vt:lpstr>
      <vt:lpstr>九州交</vt:lpstr>
      <vt:lpstr>四国</vt:lpstr>
      <vt:lpstr>四国K</vt:lpstr>
      <vt:lpstr>四国交</vt:lpstr>
      <vt:lpstr>中国</vt:lpstr>
      <vt:lpstr>中国K</vt:lpstr>
      <vt:lpstr>中国交</vt:lpstr>
      <vt:lpstr>中部</vt:lpstr>
      <vt:lpstr>中部K</vt:lpstr>
      <vt:lpstr>中部交</vt:lpstr>
      <vt:lpstr>東北</vt:lpstr>
      <vt:lpstr>東北K</vt:lpstr>
      <vt:lpstr>東北交</vt:lpstr>
      <vt:lpstr>北海道</vt:lpstr>
      <vt:lpstr>北海道K</vt:lpstr>
      <vt:lpstr>北海道交</vt:lpstr>
      <vt:lpstr>北陸</vt:lpstr>
      <vt:lpstr>北陸K</vt:lpstr>
      <vt:lpstr>北陸交</vt:lpstr>
    </vt:vector>
  </TitlesOfParts>
  <Company>行政情報化推進課</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国土交通省</dc:creator>
  <cp:lastModifiedBy>USER</cp:lastModifiedBy>
  <cp:lastPrinted>2016-08-23T14:04:24Z</cp:lastPrinted>
  <dcterms:created xsi:type="dcterms:W3CDTF">2014-04-22T04:49:31Z</dcterms:created>
  <dcterms:modified xsi:type="dcterms:W3CDTF">1980-04-19T00:18:30Z</dcterms:modified>
</cp:coreProperties>
</file>